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17" activeTab="17"/>
  </bookViews>
  <sheets>
    <sheet name="вентиляция" sheetId="1" r:id="rId1"/>
    <sheet name="Офис уборщица" sheetId="2" r:id="rId2"/>
    <sheet name="Урны регтайм" sheetId="3" r:id="rId3"/>
    <sheet name="Урны Д.С.103" sheetId="4" r:id="rId4"/>
    <sheet name="Гараж" sheetId="5" r:id="rId5"/>
    <sheet name="%увелич." sheetId="6" r:id="rId6"/>
    <sheet name="Парапет" sheetId="7" r:id="rId7"/>
    <sheet name="Накладные" sheetId="8" r:id="rId8"/>
    <sheet name="Сверка" sheetId="9" r:id="rId9"/>
    <sheet name="биль ЭВ" sheetId="10" r:id="rId10"/>
    <sheet name="Приб.учета" sheetId="11" r:id="rId11"/>
    <sheet name="почта" sheetId="12" r:id="rId12"/>
    <sheet name="Клюшницын" sheetId="13" r:id="rId13"/>
    <sheet name="Лызина 20А" sheetId="14" r:id="rId14"/>
    <sheet name="Жилищная" sheetId="15" r:id="rId15"/>
    <sheet name="Контейнерные площадки" sheetId="16" r:id="rId16"/>
    <sheet name="БХ11электр." sheetId="17" r:id="rId17"/>
    <sheet name="статьи затрат" sheetId="18" r:id="rId18"/>
  </sheets>
  <definedNames/>
  <calcPr fullCalcOnLoad="1"/>
</workbook>
</file>

<file path=xl/sharedStrings.xml><?xml version="1.0" encoding="utf-8"?>
<sst xmlns="http://schemas.openxmlformats.org/spreadsheetml/2006/main" count="1499" uniqueCount="499">
  <si>
    <t>кол-во</t>
  </si>
  <si>
    <t>Наименование работ</t>
  </si>
  <si>
    <t>ед.изм.</t>
  </si>
  <si>
    <t>норма времени на ед.</t>
  </si>
  <si>
    <t>№</t>
  </si>
  <si>
    <t>Очистка урн от мусора</t>
  </si>
  <si>
    <t>шт.</t>
  </si>
  <si>
    <t>Ст-ть ч.час</t>
  </si>
  <si>
    <t>Промывка урн</t>
  </si>
  <si>
    <t>Ст-ть работ</t>
  </si>
  <si>
    <t>м2</t>
  </si>
  <si>
    <t>Подметание территории</t>
  </si>
  <si>
    <t>К=1,6</t>
  </si>
  <si>
    <t>Сумма</t>
  </si>
  <si>
    <t>кол-во раб. дней в месяц</t>
  </si>
  <si>
    <t>Стоимость используемых материалов:мешки для мусора=60 руб.</t>
  </si>
  <si>
    <t>Калькуляция на уборку урн от мусора при пятидневной рабочей недели.</t>
  </si>
  <si>
    <r>
      <t>Итого среднемесячная сумма:</t>
    </r>
    <r>
      <rPr>
        <sz val="10"/>
        <rFont val="Arial Cyr"/>
        <family val="0"/>
      </rPr>
      <t>((530,23*5)+(505,38*7))/12 мес.=</t>
    </r>
    <r>
      <rPr>
        <b/>
        <sz val="10"/>
        <rFont val="Arial Cyr"/>
        <family val="0"/>
      </rPr>
      <t>515,73 руб</t>
    </r>
    <r>
      <rPr>
        <sz val="10"/>
        <rFont val="Arial Cyr"/>
        <family val="0"/>
      </rPr>
      <t>.</t>
    </r>
  </si>
  <si>
    <t>Налог 6%.</t>
  </si>
  <si>
    <t>Итого в летний период:(60+440,22)*1,06=530,23 руб.</t>
  </si>
  <si>
    <t>Итого в зимний период:(60+416,77)*1,06=505,38 руб.</t>
  </si>
  <si>
    <t>Ст-ть работ в день</t>
  </si>
  <si>
    <t>Итого в летний период:(60+292,16)*1,06=373,29 руб.</t>
  </si>
  <si>
    <t>Итого в зимний период:(60+277,73)*1,06=357,99 руб.</t>
  </si>
  <si>
    <r>
      <t>Итого среднемесячная сумма:</t>
    </r>
    <r>
      <rPr>
        <sz val="10"/>
        <rFont val="Arial Cyr"/>
        <family val="0"/>
      </rPr>
      <t>((373,29*5)+(357,99*7))/12 мес.=364,37</t>
    </r>
    <r>
      <rPr>
        <b/>
        <sz val="10"/>
        <rFont val="Arial Cyr"/>
        <family val="0"/>
      </rPr>
      <t xml:space="preserve"> руб</t>
    </r>
    <r>
      <rPr>
        <sz val="10"/>
        <rFont val="Arial Cyr"/>
        <family val="0"/>
      </rPr>
      <t>.</t>
    </r>
  </si>
  <si>
    <t xml:space="preserve">Утверждаю </t>
  </si>
  <si>
    <t>Директор ООО "Приоритет"</t>
  </si>
  <si>
    <t>Расчет</t>
  </si>
  <si>
    <t>№ п/п</t>
  </si>
  <si>
    <t>Наименование</t>
  </si>
  <si>
    <t>Охрана</t>
  </si>
  <si>
    <t>Уборка территории</t>
  </si>
  <si>
    <t>2760*1,33*1,6*1,142/7</t>
  </si>
  <si>
    <t>ИТОГО:</t>
  </si>
  <si>
    <t>стоимости 1-го машина-места в гараже по адресу ул. Лызина, 7-Б</t>
  </si>
  <si>
    <t>с 01.01.2009 г.</t>
  </si>
  <si>
    <t>4*2760*1,33*1,6*1,142/7</t>
  </si>
  <si>
    <t>Примечание:Расчет произведен без предъявления услуг по тепловой энергии, холодного и горячего водоснабжения, электроосвещения.</t>
  </si>
  <si>
    <t>Расчет произвел экономист Мильченко О.Д.__________</t>
  </si>
  <si>
    <t>____________С.Ю.Ткаченко</t>
  </si>
  <si>
    <t>Утверждаю</t>
  </si>
  <si>
    <t>___________С.Ю.Ткаченко</t>
  </si>
  <si>
    <t>Вид услуги</t>
  </si>
  <si>
    <t>2008 г.</t>
  </si>
  <si>
    <t>2009 г.</t>
  </si>
  <si>
    <t>% повышения</t>
  </si>
  <si>
    <t>Содержание жилья</t>
  </si>
  <si>
    <t>Сравнительная таблица</t>
  </si>
  <si>
    <t>повышения величины платы за коммунальные услуги</t>
  </si>
  <si>
    <t>1.1</t>
  </si>
  <si>
    <t>1.2</t>
  </si>
  <si>
    <t>1.3</t>
  </si>
  <si>
    <t>вывоз мусора</t>
  </si>
  <si>
    <t>освещение лестничных клеток</t>
  </si>
  <si>
    <t>аварийная служба</t>
  </si>
  <si>
    <t>2</t>
  </si>
  <si>
    <t>3</t>
  </si>
  <si>
    <t>Уборка лестничных клеток</t>
  </si>
  <si>
    <t>Ремонт</t>
  </si>
  <si>
    <t>Холодное водоснабжение</t>
  </si>
  <si>
    <t>Водоотведение</t>
  </si>
  <si>
    <t>Горячее водоснабжение</t>
  </si>
  <si>
    <t>Отопление</t>
  </si>
  <si>
    <t>Ед.измерения</t>
  </si>
  <si>
    <t>руб/м2</t>
  </si>
  <si>
    <t>коп./кВт.ч</t>
  </si>
  <si>
    <t>руб/чел</t>
  </si>
  <si>
    <t>6,96-7,36</t>
  </si>
  <si>
    <t>3,42-3,58</t>
  </si>
  <si>
    <t>8,23-8,70</t>
  </si>
  <si>
    <t>4,04-4,23</t>
  </si>
  <si>
    <t>(панельные жилые дома, имеющие все виды благоустройства)</t>
  </si>
  <si>
    <t>(кирпичные жилые дома, имеющие все виды благоустройства)</t>
  </si>
  <si>
    <t>УВЕДОМЛЕНИЕ.</t>
  </si>
  <si>
    <t>Уважаемые собственники, с 01.01.09 г. увеличились тарифы на коммунальные услуги.</t>
  </si>
  <si>
    <t>ООО "Приоритет"</t>
  </si>
  <si>
    <t>4</t>
  </si>
  <si>
    <t>5</t>
  </si>
  <si>
    <t>6</t>
  </si>
  <si>
    <t>7</t>
  </si>
  <si>
    <t>8</t>
  </si>
  <si>
    <t>Снятие показаний общидомовых приборов учета</t>
  </si>
  <si>
    <t>Итого ФОТ</t>
  </si>
  <si>
    <t>руб.</t>
  </si>
  <si>
    <t>Освещение мест общего пользования</t>
  </si>
  <si>
    <t>апрель</t>
  </si>
  <si>
    <t>ноябрь</t>
  </si>
  <si>
    <t>декабрь</t>
  </si>
  <si>
    <t>январь</t>
  </si>
  <si>
    <t>февраль</t>
  </si>
  <si>
    <t>Всего</t>
  </si>
  <si>
    <t>Тариф</t>
  </si>
  <si>
    <t>март</t>
  </si>
  <si>
    <t xml:space="preserve">апрель </t>
  </si>
  <si>
    <t xml:space="preserve">май </t>
  </si>
  <si>
    <t>июнь</t>
  </si>
  <si>
    <t>июль</t>
  </si>
  <si>
    <t>август</t>
  </si>
  <si>
    <t>сентябрь</t>
  </si>
  <si>
    <t>октябрь</t>
  </si>
  <si>
    <t>отоплени,руб/м2</t>
  </si>
  <si>
    <t>ГВС руб./чел.</t>
  </si>
  <si>
    <t>ХВС руб./чел.</t>
  </si>
  <si>
    <t>Кол-во чел.*тариф</t>
  </si>
  <si>
    <t>S подвала*тариф</t>
  </si>
  <si>
    <t>водоотв.,руб./чел.</t>
  </si>
  <si>
    <t>Примечание:2008 г. проживало 19 чел.</t>
  </si>
  <si>
    <t>2009 г. проживало 3 чел.</t>
  </si>
  <si>
    <t>Итого оплата за освещение</t>
  </si>
  <si>
    <t>Итого оплата за коммунальные услуги</t>
  </si>
  <si>
    <t>ВСЕГО:</t>
  </si>
  <si>
    <t>S</t>
  </si>
  <si>
    <t>общ.</t>
  </si>
  <si>
    <t>подвала</t>
  </si>
  <si>
    <t>Расчет отопления и освещения произведён по факту потребления на 1 м2 занимаемой площади, расчет ГВС,ХВС,водоотведения по муниципальным тарифам.</t>
  </si>
  <si>
    <t>Коммунальные услуги</t>
  </si>
  <si>
    <t>Расчет оплаты за освещение и коммунальные услуги для помещения по адресу ул. Красноказачья 21, занимаемого работниками ООО "Парапет".</t>
  </si>
  <si>
    <t>Адрес</t>
  </si>
  <si>
    <t>Общая S</t>
  </si>
  <si>
    <t>Начислено в период    с 01.09.08г.-31.12.08г.</t>
  </si>
  <si>
    <t>отопление</t>
  </si>
  <si>
    <t>ГВС</t>
  </si>
  <si>
    <t>Начислено в период    с 01.01.09г.-31.03.09г.</t>
  </si>
  <si>
    <t>Итого за 7 мес.</t>
  </si>
  <si>
    <t>Лызина 20 А</t>
  </si>
  <si>
    <t>Красноказачья 21</t>
  </si>
  <si>
    <t>Поленова 21</t>
  </si>
  <si>
    <t>Поленова 23</t>
  </si>
  <si>
    <t>Поленова 27</t>
  </si>
  <si>
    <t>Краногвардейская 20/4</t>
  </si>
  <si>
    <t>ХВС</t>
  </si>
  <si>
    <t>сент</t>
  </si>
  <si>
    <t>окт</t>
  </si>
  <si>
    <t>нояб</t>
  </si>
  <si>
    <t>дек</t>
  </si>
  <si>
    <t>янв</t>
  </si>
  <si>
    <t>февр</t>
  </si>
  <si>
    <t>Предъявлено ИГТСК</t>
  </si>
  <si>
    <t>насел.</t>
  </si>
  <si>
    <t>офисы</t>
  </si>
  <si>
    <t>Краногвардейская 22/1</t>
  </si>
  <si>
    <t>Краногвардейская 22/2</t>
  </si>
  <si>
    <t>Квартиры</t>
  </si>
  <si>
    <t>всего</t>
  </si>
  <si>
    <t>Начисл.</t>
  </si>
  <si>
    <t>Предъяв.</t>
  </si>
  <si>
    <t>Красноказ. 21</t>
  </si>
  <si>
    <t>Предъявлено</t>
  </si>
  <si>
    <t>Водоотв</t>
  </si>
  <si>
    <t>Б. Хмельницкого 11</t>
  </si>
  <si>
    <t>Водоот.</t>
  </si>
  <si>
    <t>Краногвард. 20/4</t>
  </si>
  <si>
    <t>Краногвард. 22/1</t>
  </si>
  <si>
    <t>Краногвард. 22/2</t>
  </si>
  <si>
    <t>Итого за 7 мес. ХВС</t>
  </si>
  <si>
    <t>Итого за 7 мес. Водоотв.</t>
  </si>
  <si>
    <t>Недоначислено</t>
  </si>
  <si>
    <t>Лызина 20А</t>
  </si>
  <si>
    <t>Краснок. 21</t>
  </si>
  <si>
    <t>Краногв.20/4</t>
  </si>
  <si>
    <t>Краногв.22/1</t>
  </si>
  <si>
    <t>Краногв.22/2</t>
  </si>
  <si>
    <t>фев</t>
  </si>
  <si>
    <t>Донач.</t>
  </si>
  <si>
    <t>ян</t>
  </si>
  <si>
    <t>Отоп</t>
  </si>
  <si>
    <t xml:space="preserve">Всего </t>
  </si>
  <si>
    <t>донач.</t>
  </si>
  <si>
    <t>Расходы на содержание мастерских</t>
  </si>
  <si>
    <t>Расходы на использование личного автотранспорта</t>
  </si>
  <si>
    <t>Отчисления на содержание аппарата управления</t>
  </si>
  <si>
    <t>Подготовка и переподготовка кадров</t>
  </si>
  <si>
    <t>Расходы на ремонт и преобретение инвентаря,инструмента</t>
  </si>
  <si>
    <t>Расходы на охрану труда и технику безопасности,включая затраты на взносы по обязательному соц.страхованию</t>
  </si>
  <si>
    <t>Расходы по обеспечению санитарно-гегиенических условий</t>
  </si>
  <si>
    <t>Силина</t>
  </si>
  <si>
    <t>Савин</t>
  </si>
  <si>
    <t>Клюш.</t>
  </si>
  <si>
    <t>Селянд.</t>
  </si>
  <si>
    <t>В год</t>
  </si>
  <si>
    <t>Расходы на приобретение канцелярских принадлежностей</t>
  </si>
  <si>
    <t>Отчисления на обязательное пенсионное страхование</t>
  </si>
  <si>
    <t>Расходы на приобретение спецодежды</t>
  </si>
  <si>
    <t>Усредненная структура накладных расходов по статьям затрат</t>
  </si>
  <si>
    <t>Удельный вес статей затрат (%)</t>
  </si>
  <si>
    <t>С использованием личного автотранспорта</t>
  </si>
  <si>
    <t>Без использования личного автотранспорта</t>
  </si>
  <si>
    <t>Исполнитель:экономист Мильченко О.Д.________________</t>
  </si>
  <si>
    <t>Наименование статей затрат</t>
  </si>
  <si>
    <t>Булах.</t>
  </si>
  <si>
    <t>Квартиры ХВС</t>
  </si>
  <si>
    <t>Квартиры водоотв.</t>
  </si>
  <si>
    <t>Начислено в период    с 01.09.08г.-31.03.09г.</t>
  </si>
  <si>
    <t>управленческое вознаграждение</t>
  </si>
  <si>
    <t>1.4</t>
  </si>
  <si>
    <t>%</t>
  </si>
  <si>
    <t>услуги банка</t>
  </si>
  <si>
    <t>налог</t>
  </si>
  <si>
    <t>оплата подрядным организациям за обслуживание жилого фонда</t>
  </si>
  <si>
    <t>1.5</t>
  </si>
  <si>
    <t>1.6</t>
  </si>
  <si>
    <t>1.7</t>
  </si>
  <si>
    <t>оплата подрядным организациям за ремонт жилого фонда</t>
  </si>
  <si>
    <t>2.1</t>
  </si>
  <si>
    <t>2.2</t>
  </si>
  <si>
    <t>2.3</t>
  </si>
  <si>
    <t>2.4</t>
  </si>
  <si>
    <t>Советская 77</t>
  </si>
  <si>
    <t>S,м2</t>
  </si>
  <si>
    <t>Кол-во месяцев</t>
  </si>
  <si>
    <t>с сентября 2007 г.</t>
  </si>
  <si>
    <t>Кол-во человек</t>
  </si>
  <si>
    <t>за август 2007 г.</t>
  </si>
  <si>
    <t>по июль 2009 г. включительно</t>
  </si>
  <si>
    <t>Содержание, руб./м2</t>
  </si>
  <si>
    <t>Ремонт, руб./м2</t>
  </si>
  <si>
    <t>Отопление, руб/м2</t>
  </si>
  <si>
    <t>ГВС, руб/чел.</t>
  </si>
  <si>
    <t>ХВС, руб./чел</t>
  </si>
  <si>
    <t>Водоотведение, руб./чел.</t>
  </si>
  <si>
    <t>С 17 июля по 31 июля 2007 г.</t>
  </si>
  <si>
    <t>(15 дней)</t>
  </si>
  <si>
    <t>1113,63/31*15=538,85 руб.</t>
  </si>
  <si>
    <t>Расчет задолжности по нежилому помещению по адресу ул. Красноказачья 21 (Биль Э.В.)</t>
  </si>
  <si>
    <t>Исполнитель Мильченко О.Д.____________</t>
  </si>
  <si>
    <t>Освещение 53,57 руб./чел.*3 чел.*24,5 месяцев=3937,40 руб.</t>
  </si>
  <si>
    <t>Ставки</t>
  </si>
  <si>
    <t>Оклад</t>
  </si>
  <si>
    <t>Премия</t>
  </si>
  <si>
    <t>Коэффициент</t>
  </si>
  <si>
    <t>З/П</t>
  </si>
  <si>
    <t>ФОТ(к=1,12)</t>
  </si>
  <si>
    <t>Д.Событий 105в</t>
  </si>
  <si>
    <t>Д.Событий 107а</t>
  </si>
  <si>
    <t>Советская 79</t>
  </si>
  <si>
    <t>S жилая,м2</t>
  </si>
  <si>
    <t>S нежилая,м2</t>
  </si>
  <si>
    <t>S общая,м2</t>
  </si>
  <si>
    <t>Месячный платеж за обслуживание приборов,руб</t>
  </si>
  <si>
    <t>Итого с м2</t>
  </si>
  <si>
    <t>Расчёт затрат на установку и обслуживание приборов учёта в 2009 г.</t>
  </si>
  <si>
    <t>*Обслуживание приборов:октябрь,ноябрь.декабрь 2009 г.</t>
  </si>
  <si>
    <t>Шифр норматива</t>
  </si>
  <si>
    <t>Ед. изм.</t>
  </si>
  <si>
    <t>Кол-во</t>
  </si>
  <si>
    <t>Ч.час на ед.</t>
  </si>
  <si>
    <t>Всего ч. час</t>
  </si>
  <si>
    <t>Ср. разряд</t>
  </si>
  <si>
    <t>ст-ть ч. час</t>
  </si>
  <si>
    <t>Факт. Ст-ть</t>
  </si>
  <si>
    <t>65-23-2</t>
  </si>
  <si>
    <t>Слив и наполнение водой системы отопления</t>
  </si>
  <si>
    <t>1000м3</t>
  </si>
  <si>
    <t>Прайс-лист</t>
  </si>
  <si>
    <t>Слив и запуск стояков ХВС и ГВС</t>
  </si>
  <si>
    <t>шт</t>
  </si>
  <si>
    <t>Расчёт отлаты услуг по сливу и наполнению системы отопления по адресу ул.Советская 85</t>
  </si>
  <si>
    <t>Исполнитель экономист Мильченко О.Д._________</t>
  </si>
  <si>
    <t>Налог 6%</t>
  </si>
  <si>
    <t>Начисленная сумма</t>
  </si>
  <si>
    <t>Оплата ИП</t>
  </si>
  <si>
    <t>Исполнитель эконопист Мильченко О.Д._______________</t>
  </si>
  <si>
    <t>*Слив и запуск системы отопления производился дважды 21 января 2010 г.</t>
  </si>
  <si>
    <t>0,027*591,36*1,18=18,84 руб/м2</t>
  </si>
  <si>
    <t>0,027-Среднегодовой норматив потребления энергии на отопление жилых помещений</t>
  </si>
  <si>
    <t>591,36-размер тарифа на тепловую энергию на 2009 г.</t>
  </si>
  <si>
    <t>18%-НДС</t>
  </si>
  <si>
    <t>Расчет тарифа на отопление жилых помещений на м2 площади.</t>
  </si>
  <si>
    <t>Число ставок при пятидневной рабочей недели</t>
  </si>
  <si>
    <t>Районный коэффициент и процентная надбавка</t>
  </si>
  <si>
    <t>ВСЕГО начисления</t>
  </si>
  <si>
    <t>НДФЛ 13%</t>
  </si>
  <si>
    <t>ИТОГО выдача на руки</t>
  </si>
  <si>
    <t>4-5 баллов</t>
  </si>
  <si>
    <t>5 баллов</t>
  </si>
  <si>
    <t>Расчет оплаты работы дворника 2007-2009 гг.</t>
  </si>
  <si>
    <t>Оклад 2007-2009 г.г.(не менялся)</t>
  </si>
  <si>
    <t>Расчет оплаты работы дворника 2010г.</t>
  </si>
  <si>
    <t>Требуемый процент увеличения</t>
  </si>
  <si>
    <t>Оклад 2010 г.</t>
  </si>
  <si>
    <t>ИТОГО: 33738,51+538,85+3937,4=38214,76 руб.</t>
  </si>
  <si>
    <r>
      <t>30,4кв.м*18,84руб.*1</t>
    </r>
    <r>
      <rPr>
        <sz val="10"/>
        <rFont val="Arial"/>
        <family val="2"/>
      </rPr>
      <t>ºС*266часов/100*0,15=228,52 руб.</t>
    </r>
    <r>
      <rPr>
        <sz val="10"/>
        <rFont val="Arial Cyr"/>
        <family val="0"/>
      </rPr>
      <t>   </t>
    </r>
  </si>
  <si>
    <r>
      <t>19,4кв.м*18,84руб.*3,5</t>
    </r>
    <r>
      <rPr>
        <sz val="10"/>
        <rFont val="Arial"/>
        <family val="2"/>
      </rPr>
      <t>ºС*190часов/100*0,15=364,58 руб.</t>
    </r>
    <r>
      <rPr>
        <sz val="10"/>
        <rFont val="Arial Cyr"/>
        <family val="0"/>
      </rPr>
      <t>   </t>
    </r>
  </si>
  <si>
    <r>
      <t>19,4кв.м*18,84руб.*0,5</t>
    </r>
    <r>
      <rPr>
        <sz val="10"/>
        <rFont val="Arial"/>
        <family val="2"/>
      </rPr>
      <t>ºС*50часов/100*0,15=13,71 руб.</t>
    </r>
    <r>
      <rPr>
        <sz val="10"/>
        <rFont val="Arial Cyr"/>
        <family val="0"/>
      </rPr>
      <t>   </t>
    </r>
  </si>
  <si>
    <r>
      <t>11кв.м*18,84руб.*2,7</t>
    </r>
    <r>
      <rPr>
        <sz val="10"/>
        <rFont val="Arial"/>
        <family val="2"/>
      </rPr>
      <t>ºС*190часов/100*0,15=159,47 руб.</t>
    </r>
    <r>
      <rPr>
        <sz val="10"/>
        <rFont val="Arial Cyr"/>
        <family val="0"/>
      </rPr>
      <t>   </t>
    </r>
  </si>
  <si>
    <r>
      <t>30,4кв.м*18,84руб.*2</t>
    </r>
    <r>
      <rPr>
        <sz val="10"/>
        <rFont val="Arial"/>
        <family val="2"/>
      </rPr>
      <t>ºС*95часов/100*0,15=163,23 руб.</t>
    </r>
    <r>
      <rPr>
        <sz val="10"/>
        <rFont val="Arial Cyr"/>
        <family val="0"/>
      </rPr>
      <t>   </t>
    </r>
  </si>
  <si>
    <t>Расчет снижения платы за отопления из-за отклонения от нормы</t>
  </si>
  <si>
    <t>ВСЕГО:929,51 руб.</t>
  </si>
  <si>
    <t>Расчет размера месячной платы за отопления с учетом снижения за непредоставленную услугу</t>
  </si>
  <si>
    <t>Размер ежемесячной платы за отопление.</t>
  </si>
  <si>
    <t>Показатели</t>
  </si>
  <si>
    <t>с 30 ноября по 13 декабря 2009г.</t>
  </si>
  <si>
    <t>с 14 по 23 декабря 2009 г.</t>
  </si>
  <si>
    <t>с 24 по 28 декабря 2009 г.</t>
  </si>
  <si>
    <t>Отклонение от нормы в комнате 19,4 кв.м</t>
  </si>
  <si>
    <t>Время суток</t>
  </si>
  <si>
    <t>Количество часов</t>
  </si>
  <si>
    <r>
      <t>1</t>
    </r>
    <r>
      <rPr>
        <sz val="10"/>
        <rFont val="Arial"/>
        <family val="2"/>
      </rPr>
      <t>º</t>
    </r>
    <r>
      <rPr>
        <sz val="10"/>
        <rFont val="Arial Cyr"/>
        <family val="0"/>
      </rPr>
      <t>С</t>
    </r>
  </si>
  <si>
    <r>
      <t>3,5</t>
    </r>
    <r>
      <rPr>
        <sz val="10"/>
        <rFont val="Arial"/>
        <family val="2"/>
      </rPr>
      <t>ºС</t>
    </r>
  </si>
  <si>
    <r>
      <t>0,5</t>
    </r>
    <r>
      <rPr>
        <sz val="10"/>
        <rFont val="Arial"/>
        <family val="2"/>
      </rPr>
      <t>ºС</t>
    </r>
  </si>
  <si>
    <r>
      <t>0</t>
    </r>
    <r>
      <rPr>
        <sz val="10"/>
        <rFont val="Arial"/>
        <family val="2"/>
      </rPr>
      <t>ºС</t>
    </r>
  </si>
  <si>
    <r>
      <t>2,7</t>
    </r>
    <r>
      <rPr>
        <sz val="10"/>
        <rFont val="Arial"/>
        <family val="2"/>
      </rPr>
      <t>ºС</t>
    </r>
  </si>
  <si>
    <r>
      <t>2</t>
    </r>
    <r>
      <rPr>
        <sz val="10"/>
        <rFont val="Arial"/>
        <family val="2"/>
      </rPr>
      <t>º</t>
    </r>
    <r>
      <rPr>
        <sz val="10"/>
        <rFont val="Arial Cyr"/>
        <family val="0"/>
      </rPr>
      <t>С</t>
    </r>
  </si>
  <si>
    <t>день</t>
  </si>
  <si>
    <t>ночь</t>
  </si>
  <si>
    <t>Расчет размера отклонений температуры от нормы и времени в течении которого не предоставлялась услуга надлежащего качества.</t>
  </si>
  <si>
    <t>Исполнитель экономист Мильченко О.Д.___________</t>
  </si>
  <si>
    <t>45,4кв.м*18,84руб.=855,34 руб.</t>
  </si>
  <si>
    <t>855,34 руб.-929,51 руб.= -74,17 руб.= 0 руб.</t>
  </si>
  <si>
    <t>Расчет суммы для вычета из акта выполненных работ за февраль 2010 г. для ООО "Профессионал" (не производилась уборка подъезда №1 по адресу ул.Ф.Энгельса,7)</t>
  </si>
  <si>
    <t>1818,27 руб.*1,21/1592,2м2*666,4м2=920,83 руб.</t>
  </si>
  <si>
    <t>"___"_____________2010 г.</t>
  </si>
  <si>
    <t>Ген.директор ООО УК "Приоритет"</t>
  </si>
  <si>
    <t>Расчет ставки дворника</t>
  </si>
  <si>
    <t>Уборка контейнерных площадок</t>
  </si>
  <si>
    <t>Обоснование</t>
  </si>
  <si>
    <t>Площадь, м2</t>
  </si>
  <si>
    <t>Численность</t>
  </si>
  <si>
    <t>2.2.1.16</t>
  </si>
  <si>
    <t>Очистка контейнерной площадки в зимний период(очистка площадки от снега и наледи)</t>
  </si>
  <si>
    <t>Ржанова 25</t>
  </si>
  <si>
    <t>2.2.1.24</t>
  </si>
  <si>
    <t>Уборка мусора вокруг контейнера и погрузка его в контейнер</t>
  </si>
  <si>
    <t>ИТОГО</t>
  </si>
  <si>
    <t>Исполнитель экономист Мильченко О.Д._____________</t>
  </si>
  <si>
    <t>Расчет произведен согласно Рекомендации по нормированию труда работников, занятых содержаниеем и ремонтом жилищного фонда. Утверждены приказом Госстроя России от 09.12.99 г. №139</t>
  </si>
  <si>
    <t>(591,36*1,18*0,055)+(8,73*1,18)=48,68 руб/м3</t>
  </si>
  <si>
    <t>0,027-Норматив потребления тепловой энергии на нужды горячего водоснабжения.</t>
  </si>
  <si>
    <t>644,94-размер тарифа на тепловую энергию на 2010 г.</t>
  </si>
  <si>
    <t>(644,94*1,18*0,055)+(9,7*1,18)=53,3 руб/м3</t>
  </si>
  <si>
    <t>8,73-размер тарифа на подпиточную воду 2009 г.</t>
  </si>
  <si>
    <t>9,7-размер тарифа на подпиточную воду 2010 г.</t>
  </si>
  <si>
    <t>Расчет тарифа горячего водоснабжения, руб./м3.</t>
  </si>
  <si>
    <t>Затраты на установку приборов учёта,руб</t>
  </si>
  <si>
    <t>Норма обслуживания, м2</t>
  </si>
  <si>
    <t>Отклонение от нормы в комнате 11 кв.м</t>
  </si>
  <si>
    <t>Структура затрат,руб/м2</t>
  </si>
  <si>
    <t>Содержание конструктивных элементов жилых зданий</t>
  </si>
  <si>
    <t>Содержание внутридомового инженерного оборудования</t>
  </si>
  <si>
    <t>Аварийное обслуживание</t>
  </si>
  <si>
    <t>Вывоз и размещение бытовых отходов</t>
  </si>
  <si>
    <t>Налог УСН</t>
  </si>
  <si>
    <t>7.1</t>
  </si>
  <si>
    <t>Общеэксплуатационные расходы:</t>
  </si>
  <si>
    <t>7.2</t>
  </si>
  <si>
    <t>Аудит фактических затрат</t>
  </si>
  <si>
    <t>Услуги паспортного стола, бухгалтера по начислению коммунальных платежей</t>
  </si>
  <si>
    <t>7.3</t>
  </si>
  <si>
    <t>Услуги банка</t>
  </si>
  <si>
    <t>7.4</t>
  </si>
  <si>
    <t>Прочие прямые расходы</t>
  </si>
  <si>
    <t>2010 г.</t>
  </si>
  <si>
    <t>руб/Гкал</t>
  </si>
  <si>
    <t>руб/м3</t>
  </si>
  <si>
    <t>Лызина 20а</t>
  </si>
  <si>
    <t>руб/т</t>
  </si>
  <si>
    <t>освещение мест общего пользования</t>
  </si>
  <si>
    <t>3.1</t>
  </si>
  <si>
    <t>3.2</t>
  </si>
  <si>
    <t>3.3</t>
  </si>
  <si>
    <t>Итого:</t>
  </si>
  <si>
    <t>Всего:</t>
  </si>
  <si>
    <t>Благоустройство и обеспечение санитарного состояния придомовой территории</t>
  </si>
  <si>
    <t>Директор ООО "Приоритет" ____________С.Ю.Ткаченко</t>
  </si>
  <si>
    <t>с 24 по 31 декабря 2009 г.</t>
  </si>
  <si>
    <r>
      <t>30,4кв.м*18,84руб.*2</t>
    </r>
    <r>
      <rPr>
        <sz val="10"/>
        <rFont val="Arial"/>
        <family val="2"/>
      </rPr>
      <t>ºС*152часов/100*0,15=261,17 руб.</t>
    </r>
    <r>
      <rPr>
        <sz val="10"/>
        <rFont val="Arial Cyr"/>
        <family val="0"/>
      </rPr>
      <t>   </t>
    </r>
  </si>
  <si>
    <t>с 1 декабря по 13 декабря 2009г.</t>
  </si>
  <si>
    <t>30 ноября 2009 г.</t>
  </si>
  <si>
    <t>Расчет снижения платы за отопления из-за отклонения от нормы в декабре 2009 г.</t>
  </si>
  <si>
    <r>
      <t>30,4кв.м*18,84руб.*1</t>
    </r>
    <r>
      <rPr>
        <sz val="10"/>
        <rFont val="Arial"/>
        <family val="2"/>
      </rPr>
      <t>ºС*247часов/100*0,15=212,20 руб.</t>
    </r>
    <r>
      <rPr>
        <sz val="10"/>
        <rFont val="Arial Cyr"/>
        <family val="0"/>
      </rPr>
      <t>   </t>
    </r>
  </si>
  <si>
    <t>Размер ежемесячной платы за отопление в 2009 г.</t>
  </si>
  <si>
    <t>Расчет снижения платы за отопления из-за отклонения от нормы в ноябре 2009 г.</t>
  </si>
  <si>
    <r>
      <t>30,4кв.м*18,84руб.*1</t>
    </r>
    <r>
      <rPr>
        <sz val="10"/>
        <rFont val="Arial"/>
        <family val="2"/>
      </rPr>
      <t>ºС*19часов/100*0,15=16,32 руб.</t>
    </r>
    <r>
      <rPr>
        <sz val="10"/>
        <rFont val="Arial Cyr"/>
        <family val="0"/>
      </rPr>
      <t>   </t>
    </r>
  </si>
  <si>
    <t>ВСЕГО:1011,13 руб.</t>
  </si>
  <si>
    <t>с 1 по 10 января 2010 г.</t>
  </si>
  <si>
    <t>Расчет размера месячной платы за отопления с учетом снижения за непредоставленную услугу за ноябрь 2009 г.</t>
  </si>
  <si>
    <t>Расчет снижения платы за отопления из-за отклонения от нормы в январе 2010 г.</t>
  </si>
  <si>
    <t>Расчет размера месячной платы за отопления с учетом снижения за непредоставленную услугу за январь 2010 г.</t>
  </si>
  <si>
    <t>Размер ежемесячной платы за отопление в 2010 г.</t>
  </si>
  <si>
    <t>45,4кв.м*20,55руб.=932,97 руб.</t>
  </si>
  <si>
    <t>ВСЕГО:356,09 руб.</t>
  </si>
  <si>
    <t>932,97 руб.-356,09 руб.= 576,88 руб.</t>
  </si>
  <si>
    <t xml:space="preserve">Расчет размера месячной платы за отопления с учетом снижения за непредоставленную услугу за декабрь 2009 г. </t>
  </si>
  <si>
    <t>855,34 руб.-1011,13 руб.= -155,79 руб.= 0 руб.*</t>
  </si>
  <si>
    <t>*Размер снижения не может превышать месячной отлаты за услугу.</t>
  </si>
  <si>
    <t>ВСЕГО:16,32 руб.</t>
  </si>
  <si>
    <t>855,34 руб.-16,32 руб.= 839,02 руб.</t>
  </si>
  <si>
    <r>
      <t>30,4кв.м*20,55руб.*2</t>
    </r>
    <r>
      <rPr>
        <sz val="10"/>
        <rFont val="Arial"/>
        <family val="2"/>
      </rPr>
      <t>ºС*190часов/100*0,15=356,09 руб.</t>
    </r>
    <r>
      <rPr>
        <sz val="10"/>
        <rFont val="Arial Cyr"/>
        <family val="0"/>
      </rPr>
      <t>   </t>
    </r>
  </si>
  <si>
    <t>Таким образом, по расчету ООО "Приоритет", снижение платы за некачественное оказание услуги отопления за период с 30 ноября 2009 г. по 10 января 2010 г. для Развозжаевой Т.К. должно составлять 16,32 руб.+855,34 руб.+356,09 руб.=1227,75 руб.</t>
  </si>
  <si>
    <t>Расчет размера отклонений температуры от нормы и времени в течении которого не предоставлялась услуга надлежащего качества для Развозжаевой Т.К..</t>
  </si>
  <si>
    <t>8.1</t>
  </si>
  <si>
    <t>8.2</t>
  </si>
  <si>
    <t>8.3</t>
  </si>
  <si>
    <t>9.1</t>
  </si>
  <si>
    <t>9.2</t>
  </si>
  <si>
    <t>9.3</t>
  </si>
  <si>
    <t>Капитальные жилые дома кирпичные, имеющие все виды благоустройства, без лифта и мусоропровода.</t>
  </si>
  <si>
    <t>Капитальные жилые дома панельные, имеющие все виды благоустройства, без лифта и мусоропровода.</t>
  </si>
  <si>
    <t>сен.окт</t>
  </si>
  <si>
    <t>май</t>
  </si>
  <si>
    <t xml:space="preserve">Счета </t>
  </si>
  <si>
    <t>Начислено</t>
  </si>
  <si>
    <t>Поверка теплосчетчика ТЭМ 104</t>
  </si>
  <si>
    <t>Снятие показаний с приборов учёта 2010 г.</t>
  </si>
  <si>
    <t>Установка термометров сопротивления</t>
  </si>
  <si>
    <t>Подготовка и оформление актов повторного доступа узлов учета т/э</t>
  </si>
  <si>
    <t>Затраты на обслуживание приборов учета Лызина 20А 2010 г.</t>
  </si>
  <si>
    <t>Кол-во мес.</t>
  </si>
  <si>
    <t xml:space="preserve">Начислено </t>
  </si>
  <si>
    <t>Разница между затратами и начисленными платежами</t>
  </si>
  <si>
    <t>Фактические затраты на 1м2 в 2010 г.</t>
  </si>
  <si>
    <t>Рентабельность 5%</t>
  </si>
  <si>
    <t>Исполнитель экономист Мильченко О.Д.________</t>
  </si>
  <si>
    <t>Расчет тарифа на обслуживание приборов учёта на ноябрь, декабрь 2010 г.</t>
  </si>
  <si>
    <t>2011 г.</t>
  </si>
  <si>
    <t>Содержание</t>
  </si>
  <si>
    <t xml:space="preserve">ремонт </t>
  </si>
  <si>
    <t>приборы учета</t>
  </si>
  <si>
    <t>уборка</t>
  </si>
  <si>
    <t>водоотведение</t>
  </si>
  <si>
    <t>состав семьи</t>
  </si>
  <si>
    <t>к оплате</t>
  </si>
  <si>
    <t>Богдана Хмельницкого 11</t>
  </si>
  <si>
    <t>9,3-11,85</t>
  </si>
  <si>
    <t>4,04-4,57</t>
  </si>
  <si>
    <t>1,5-1,7</t>
  </si>
  <si>
    <t>8,23-9,91</t>
  </si>
  <si>
    <t>3,52-4,04</t>
  </si>
  <si>
    <t>Содержание жилья:</t>
  </si>
  <si>
    <t>Д.Событий 103</t>
  </si>
  <si>
    <t>Убираемая S,м2</t>
  </si>
  <si>
    <t>Уборка офиса</t>
  </si>
  <si>
    <t>ежедневно</t>
  </si>
  <si>
    <t>Периодичность</t>
  </si>
  <si>
    <t>Лестница в офис</t>
  </si>
  <si>
    <t>Лестница в подвал к диспетчеру</t>
  </si>
  <si>
    <t>Примечание</t>
  </si>
  <si>
    <t>Лестница левая</t>
  </si>
  <si>
    <t>1 раз в неделю</t>
  </si>
  <si>
    <t>В летний период влажная, в зимний сухая</t>
  </si>
  <si>
    <t>Жалюзи (8 шт)</t>
  </si>
  <si>
    <t>1 раз в месяц</t>
  </si>
  <si>
    <t>В летний период влажная</t>
  </si>
  <si>
    <t>Влажная</t>
  </si>
  <si>
    <t>Окна (7 шт)</t>
  </si>
  <si>
    <t>Дверь входная стеклянная</t>
  </si>
  <si>
    <t>С апреля по октябрь</t>
  </si>
  <si>
    <t>Уборка диспетчерской, кухни</t>
  </si>
  <si>
    <t>Уборка красного уголка и дополнительного помещения</t>
  </si>
  <si>
    <t>Тариф на уборку 1 м2</t>
  </si>
  <si>
    <t>Расчет на уборку офиса Поленова 11.</t>
  </si>
  <si>
    <t>экономист Мильченко О.Д._________</t>
  </si>
  <si>
    <t>0,027 Гкал/м2-Среднегодовой норматив потребления энергии на отопление жилых помещений</t>
  </si>
  <si>
    <t>0,027*714,91*1,18=22,78 руб/м2</t>
  </si>
  <si>
    <t>Расчет тарифа на отопление жилых помещений на м2 площади 2011 г.</t>
  </si>
  <si>
    <t>714,91 руб/Гкал-размер тарифа на тепловую энергию на 2011 г.</t>
  </si>
  <si>
    <t>Цена</t>
  </si>
  <si>
    <t>Проверка вентиляционных каналов</t>
  </si>
  <si>
    <t>Прочистка вентиляционного канала без пробивки</t>
  </si>
  <si>
    <t>Прочистка вентиляционного канала с пробивкой по кирпичу</t>
  </si>
  <si>
    <t>Прочистка вентиляционного канала с пробивкой по бетону</t>
  </si>
  <si>
    <t>Проверка, прочистка общего сборного канала</t>
  </si>
  <si>
    <t>"___"_____________2011г.</t>
  </si>
  <si>
    <t>Расчет стоимости работ по ремонту вентиляции в жилых домах.</t>
  </si>
  <si>
    <t>Красногвардейская 20/1</t>
  </si>
  <si>
    <t>1000м3 (здания)</t>
  </si>
  <si>
    <t>Расход воды при сливе на домах с общедомовыми приборами учета тепловой энергии</t>
  </si>
  <si>
    <t>1м3</t>
  </si>
  <si>
    <t>Вознаграждение УК 15%</t>
  </si>
  <si>
    <t xml:space="preserve"> </t>
  </si>
  <si>
    <t xml:space="preserve"> Поленова 21</t>
  </si>
  <si>
    <t>Обслуживание лифтов</t>
  </si>
  <si>
    <t>9</t>
  </si>
  <si>
    <t>Расчёт отлаты услуг по сливу и наполнению системы отопления по адресу ул.Советская 93</t>
  </si>
  <si>
    <t>Красногвардейская 20,22</t>
  </si>
  <si>
    <t>Красногвардейская 20/2,3,4</t>
  </si>
  <si>
    <t>Красногвардейская 22/1,2</t>
  </si>
  <si>
    <t>Затраты на обслуживание приборов учета Лызина 20А 2012 г.</t>
  </si>
  <si>
    <t>Снятие показаний с приборов учёта 2012г.</t>
  </si>
  <si>
    <t>Подключение к системе АСКУТЭ, билинговое соправождение</t>
  </si>
  <si>
    <t>Начислено в 2012 г.</t>
  </si>
  <si>
    <t>Действующий тариф</t>
  </si>
  <si>
    <t xml:space="preserve">Тариф с налогами и расходами на управление </t>
  </si>
  <si>
    <t>Фактические затраты на 1м2 в 2012 г.</t>
  </si>
  <si>
    <t>Расчёт отлаты услуг по сливу и наполнению системы отопления по адресу ул.Лызина 40</t>
  </si>
  <si>
    <t>Расчет оплаты для ИП Клюшницын В.А. за вынужденное отключение и запуск системы отопления по адресу ул.Лызина 40 в марте 2013 г.</t>
  </si>
  <si>
    <t>"___"_____________2013 г.</t>
  </si>
  <si>
    <t>Совнтская 170</t>
  </si>
  <si>
    <t>Советская 170</t>
  </si>
  <si>
    <t>Советская 170/1</t>
  </si>
  <si>
    <t>Расчет на уборку офиса Костычева 27/13</t>
  </si>
  <si>
    <t>Балкон</t>
  </si>
  <si>
    <t>Жалюзи (4 шт)</t>
  </si>
  <si>
    <t>Окна (3 шт)</t>
  </si>
  <si>
    <t>Поленова 23,27</t>
  </si>
  <si>
    <t>"___"_____________2013г.</t>
  </si>
  <si>
    <t>Капитальные жилые дома кирпичные, имеющие все виды благоустройства, с лифтом без мусоропровода.</t>
  </si>
  <si>
    <t>Затраты на управление многоквартирным домом (ФОТ)</t>
  </si>
  <si>
    <t xml:space="preserve">Стоимость содержания 1м2 общей площади жилых зданий по статьям затрат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</si>
</sst>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&quot;р.&quot;"/>
    <numFmt numFmtId="167" formatCode="#,##0.00&quot;р.&quot;"/>
    <numFmt numFmtId="168" formatCode="0.00000"/>
    <numFmt numFmtId="169" formatCode="0.0000"/>
    <numFmt numFmtId="170" formatCode="0.000000"/>
    <numFmt numFmtId="171" formatCode="#,##0.00_р_.;[Red]#,##0.00_р_."/>
    <numFmt numFmtId="172" formatCode="0.0000000"/>
    <numFmt numFmtId="173" formatCode="0.00000000"/>
    <numFmt numFmtId="174" formatCode="0.00000000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0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2" fillId="0" borderId="2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36" xfId="0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2" fontId="0" fillId="0" borderId="35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28" xfId="0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0" fillId="0" borderId="33" xfId="0" applyBorder="1" applyAlignment="1">
      <alignment/>
    </xf>
    <xf numFmtId="2" fontId="0" fillId="0" borderId="37" xfId="0" applyNumberForma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50" xfId="0" applyBorder="1" applyAlignment="1">
      <alignment/>
    </xf>
    <xf numFmtId="0" fontId="0" fillId="0" borderId="43" xfId="0" applyBorder="1" applyAlignment="1">
      <alignment/>
    </xf>
    <xf numFmtId="0" fontId="0" fillId="0" borderId="34" xfId="0" applyFill="1" applyBorder="1" applyAlignment="1">
      <alignment/>
    </xf>
    <xf numFmtId="0" fontId="0" fillId="0" borderId="51" xfId="0" applyBorder="1" applyAlignment="1">
      <alignment/>
    </xf>
    <xf numFmtId="0" fontId="0" fillId="0" borderId="42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wrapText="1"/>
    </xf>
    <xf numFmtId="0" fontId="0" fillId="0" borderId="45" xfId="0" applyBorder="1" applyAlignment="1">
      <alignment/>
    </xf>
    <xf numFmtId="0" fontId="0" fillId="0" borderId="23" xfId="0" applyBorder="1" applyAlignment="1">
      <alignment/>
    </xf>
    <xf numFmtId="0" fontId="0" fillId="0" borderId="44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53" xfId="0" applyFont="1" applyFill="1" applyBorder="1" applyAlignment="1">
      <alignment/>
    </xf>
    <xf numFmtId="0" fontId="0" fillId="0" borderId="53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51" xfId="0" applyFont="1" applyBorder="1" applyAlignment="1">
      <alignment/>
    </xf>
    <xf numFmtId="0" fontId="0" fillId="0" borderId="51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54" xfId="0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5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59" xfId="0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/>
    </xf>
    <xf numFmtId="166" fontId="0" fillId="0" borderId="37" xfId="0" applyNumberFormat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166" fontId="0" fillId="0" borderId="37" xfId="0" applyNumberFormat="1" applyBorder="1" applyAlignment="1">
      <alignment horizontal="center"/>
    </xf>
    <xf numFmtId="166" fontId="0" fillId="0" borderId="33" xfId="0" applyNumberFormat="1" applyBorder="1" applyAlignment="1">
      <alignment horizontal="center"/>
    </xf>
    <xf numFmtId="166" fontId="0" fillId="0" borderId="38" xfId="0" applyNumberFormat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166" fontId="0" fillId="0" borderId="38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166" fontId="0" fillId="0" borderId="41" xfId="0" applyNumberFormat="1" applyBorder="1" applyAlignment="1">
      <alignment horizontal="center" vertical="center"/>
    </xf>
    <xf numFmtId="166" fontId="0" fillId="0" borderId="66" xfId="0" applyNumberFormat="1" applyBorder="1" applyAlignment="1">
      <alignment horizontal="center" vertical="center"/>
    </xf>
    <xf numFmtId="166" fontId="0" fillId="0" borderId="41" xfId="0" applyNumberFormat="1" applyBorder="1" applyAlignment="1">
      <alignment horizontal="center"/>
    </xf>
    <xf numFmtId="166" fontId="0" fillId="0" borderId="66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0" fillId="0" borderId="36" xfId="0" applyNumberForma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 vertical="center" wrapText="1"/>
    </xf>
    <xf numFmtId="166" fontId="0" fillId="0" borderId="30" xfId="0" applyNumberForma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166" fontId="0" fillId="0" borderId="67" xfId="0" applyNumberFormat="1" applyBorder="1" applyAlignment="1">
      <alignment horizontal="center" vertical="center"/>
    </xf>
    <xf numFmtId="166" fontId="0" fillId="0" borderId="50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 vertical="center"/>
    </xf>
    <xf numFmtId="166" fontId="0" fillId="0" borderId="28" xfId="0" applyNumberFormat="1" applyBorder="1" applyAlignment="1">
      <alignment horizontal="center" vertical="center"/>
    </xf>
    <xf numFmtId="166" fontId="0" fillId="0" borderId="36" xfId="0" applyNumberFormat="1" applyBorder="1" applyAlignment="1">
      <alignment horizontal="center" vertical="center"/>
    </xf>
    <xf numFmtId="166" fontId="0" fillId="0" borderId="68" xfId="0" applyNumberForma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2" fillId="0" borderId="69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5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2" fontId="2" fillId="0" borderId="58" xfId="0" applyNumberFormat="1" applyFont="1" applyBorder="1" applyAlignment="1">
      <alignment horizontal="center"/>
    </xf>
    <xf numFmtId="49" fontId="0" fillId="0" borderId="67" xfId="0" applyNumberFormat="1" applyBorder="1" applyAlignment="1">
      <alignment horizontal="center"/>
    </xf>
    <xf numFmtId="0" fontId="0" fillId="0" borderId="66" xfId="0" applyBorder="1" applyAlignment="1">
      <alignment/>
    </xf>
    <xf numFmtId="2" fontId="0" fillId="0" borderId="6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49" fontId="0" fillId="0" borderId="67" xfId="0" applyNumberFormat="1" applyBorder="1" applyAlignment="1">
      <alignment horizontal="center" vertical="center"/>
    </xf>
    <xf numFmtId="0" fontId="0" fillId="0" borderId="66" xfId="0" applyBorder="1" applyAlignment="1">
      <alignment vertical="center" wrapText="1"/>
    </xf>
    <xf numFmtId="0" fontId="0" fillId="0" borderId="41" xfId="0" applyFont="1" applyBorder="1" applyAlignment="1">
      <alignment horizontal="center" vertical="center"/>
    </xf>
    <xf numFmtId="2" fontId="0" fillId="0" borderId="66" xfId="0" applyNumberForma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36" xfId="0" applyFont="1" applyBorder="1" applyAlignment="1">
      <alignment horizontal="center"/>
    </xf>
    <xf numFmtId="49" fontId="0" fillId="0" borderId="69" xfId="0" applyNumberFormat="1" applyBorder="1" applyAlignment="1">
      <alignment horizontal="center"/>
    </xf>
    <xf numFmtId="49" fontId="0" fillId="0" borderId="32" xfId="0" applyNumberForma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5" xfId="0" applyBorder="1" applyAlignment="1">
      <alignment vertical="center" wrapText="1"/>
    </xf>
    <xf numFmtId="0" fontId="0" fillId="0" borderId="58" xfId="0" applyFon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2" fontId="0" fillId="0" borderId="39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 horizontal="center" wrapText="1"/>
    </xf>
    <xf numFmtId="17" fontId="0" fillId="0" borderId="10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3" fillId="0" borderId="17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9" fontId="13" fillId="0" borderId="10" xfId="0" applyNumberFormat="1" applyFont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71" fontId="6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9" fontId="2" fillId="0" borderId="0" xfId="0" applyNumberFormat="1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right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61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52" xfId="0" applyNumberFormat="1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5" xfId="0" applyFont="1" applyBorder="1" applyAlignment="1">
      <alignment horizontal="center"/>
    </xf>
    <xf numFmtId="2" fontId="2" fillId="0" borderId="5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wrapText="1"/>
    </xf>
    <xf numFmtId="0" fontId="2" fillId="0" borderId="20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2" fillId="0" borderId="70" xfId="0" applyFont="1" applyBorder="1" applyAlignment="1">
      <alignment horizontal="center"/>
    </xf>
    <xf numFmtId="2" fontId="0" fillId="0" borderId="71" xfId="0" applyNumberFormat="1" applyBorder="1" applyAlignment="1">
      <alignment horizontal="center"/>
    </xf>
    <xf numFmtId="2" fontId="0" fillId="0" borderId="7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0" fillId="0" borderId="37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51" xfId="0" applyBorder="1" applyAlignment="1">
      <alignment vertical="center" wrapText="1"/>
    </xf>
    <xf numFmtId="0" fontId="2" fillId="0" borderId="51" xfId="0" applyFont="1" applyBorder="1" applyAlignment="1">
      <alignment/>
    </xf>
    <xf numFmtId="2" fontId="0" fillId="0" borderId="49" xfId="0" applyNumberForma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2" fillId="0" borderId="56" xfId="0" applyNumberFormat="1" applyFont="1" applyBorder="1" applyAlignment="1">
      <alignment horizontal="center" vertical="center"/>
    </xf>
    <xf numFmtId="2" fontId="2" fillId="0" borderId="70" xfId="0" applyNumberFormat="1" applyFont="1" applyBorder="1" applyAlignment="1">
      <alignment horizontal="center" vertical="center"/>
    </xf>
    <xf numFmtId="2" fontId="2" fillId="0" borderId="62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0" fillId="0" borderId="75" xfId="0" applyBorder="1" applyAlignment="1">
      <alignment vertical="center"/>
    </xf>
    <xf numFmtId="2" fontId="2" fillId="0" borderId="40" xfId="0" applyNumberFormat="1" applyFont="1" applyBorder="1" applyAlignment="1">
      <alignment horizontal="center" vertical="center"/>
    </xf>
    <xf numFmtId="2" fontId="2" fillId="0" borderId="68" xfId="0" applyNumberFormat="1" applyFont="1" applyBorder="1" applyAlignment="1">
      <alignment horizontal="center" vertical="center"/>
    </xf>
    <xf numFmtId="2" fontId="2" fillId="0" borderId="53" xfId="0" applyNumberFormat="1" applyFont="1" applyBorder="1" applyAlignment="1">
      <alignment horizontal="center" vertical="center"/>
    </xf>
    <xf numFmtId="2" fontId="2" fillId="0" borderId="73" xfId="0" applyNumberFormat="1" applyFont="1" applyBorder="1" applyAlignment="1">
      <alignment horizontal="center" vertical="center"/>
    </xf>
    <xf numFmtId="2" fontId="2" fillId="0" borderId="60" xfId="0" applyNumberFormat="1" applyFont="1" applyBorder="1" applyAlignment="1">
      <alignment horizontal="center" vertical="center"/>
    </xf>
    <xf numFmtId="2" fontId="2" fillId="0" borderId="7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8" xfId="0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77" xfId="0" applyFont="1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41" xfId="0" applyFill="1" applyBorder="1" applyAlignment="1">
      <alignment horizontal="left" vertical="center"/>
    </xf>
    <xf numFmtId="0" fontId="0" fillId="0" borderId="41" xfId="0" applyBorder="1" applyAlignment="1">
      <alignment horizontal="left"/>
    </xf>
    <xf numFmtId="0" fontId="0" fillId="0" borderId="37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6">
      <selection activeCell="A20" sqref="A20:E37"/>
    </sheetView>
  </sheetViews>
  <sheetFormatPr defaultColWidth="9.00390625" defaultRowHeight="12.75"/>
  <cols>
    <col min="1" max="1" width="7.625" style="0" customWidth="1"/>
    <col min="2" max="2" width="37.625" style="0" customWidth="1"/>
    <col min="3" max="3" width="15.125" style="0" customWidth="1"/>
    <col min="4" max="4" width="14.75390625" style="0" customWidth="1"/>
  </cols>
  <sheetData>
    <row r="1" spans="1:5" ht="15">
      <c r="A1" s="346" t="s">
        <v>25</v>
      </c>
      <c r="B1" s="346"/>
      <c r="C1" s="346"/>
      <c r="D1" s="346"/>
      <c r="E1" s="347"/>
    </row>
    <row r="2" spans="1:5" ht="15">
      <c r="A2" s="346" t="s">
        <v>26</v>
      </c>
      <c r="B2" s="346"/>
      <c r="C2" s="346"/>
      <c r="D2" s="346"/>
      <c r="E2" s="347"/>
    </row>
    <row r="3" spans="1:5" ht="21.75" customHeight="1">
      <c r="A3" s="346" t="s">
        <v>39</v>
      </c>
      <c r="B3" s="346"/>
      <c r="C3" s="346"/>
      <c r="D3" s="346"/>
      <c r="E3" s="347"/>
    </row>
    <row r="4" spans="1:5" ht="27.75" customHeight="1">
      <c r="A4" s="30"/>
      <c r="B4" s="30"/>
      <c r="C4" s="30"/>
      <c r="D4" s="30"/>
      <c r="E4" s="30" t="s">
        <v>462</v>
      </c>
    </row>
    <row r="5" spans="1:5" ht="15" customHeight="1">
      <c r="A5" s="30"/>
      <c r="B5" s="30"/>
      <c r="C5" s="30"/>
      <c r="D5" s="30"/>
      <c r="E5" s="30"/>
    </row>
    <row r="6" spans="1:5" ht="15" customHeight="1">
      <c r="A6" s="30"/>
      <c r="B6" s="30"/>
      <c r="C6" s="30"/>
      <c r="D6" s="30"/>
      <c r="E6" s="30"/>
    </row>
    <row r="7" spans="1:5" ht="15" customHeight="1">
      <c r="A7" s="30"/>
      <c r="B7" s="30"/>
      <c r="C7" s="30"/>
      <c r="D7" s="30"/>
      <c r="E7" s="30"/>
    </row>
    <row r="8" spans="1:5" ht="15.75">
      <c r="A8" s="345" t="s">
        <v>463</v>
      </c>
      <c r="B8" s="345"/>
      <c r="C8" s="345"/>
      <c r="D8" s="345"/>
      <c r="E8" s="345"/>
    </row>
    <row r="9" spans="1:5" ht="12.75">
      <c r="A9" s="50"/>
      <c r="B9" s="50"/>
      <c r="C9" s="50"/>
      <c r="D9" s="50"/>
      <c r="E9" s="50"/>
    </row>
    <row r="10" spans="1:5" ht="12.75" customHeight="1">
      <c r="A10" s="334" t="s">
        <v>28</v>
      </c>
      <c r="B10" s="267" t="s">
        <v>1</v>
      </c>
      <c r="C10" s="267" t="s">
        <v>63</v>
      </c>
      <c r="D10" s="267" t="s">
        <v>244</v>
      </c>
      <c r="E10" s="267" t="s">
        <v>456</v>
      </c>
    </row>
    <row r="11" spans="1:5" ht="15">
      <c r="A11" s="267">
        <v>1</v>
      </c>
      <c r="B11" s="335" t="s">
        <v>457</v>
      </c>
      <c r="C11" s="267" t="s">
        <v>255</v>
      </c>
      <c r="D11" s="267">
        <v>1</v>
      </c>
      <c r="E11" s="267">
        <v>100</v>
      </c>
    </row>
    <row r="12" spans="1:5" ht="30">
      <c r="A12" s="336">
        <v>2</v>
      </c>
      <c r="B12" s="337" t="s">
        <v>458</v>
      </c>
      <c r="C12" s="336" t="s">
        <v>255</v>
      </c>
      <c r="D12" s="336">
        <v>1</v>
      </c>
      <c r="E12" s="336">
        <v>500</v>
      </c>
    </row>
    <row r="13" spans="1:5" ht="30">
      <c r="A13" s="336">
        <v>3</v>
      </c>
      <c r="B13" s="337" t="s">
        <v>459</v>
      </c>
      <c r="C13" s="336" t="s">
        <v>255</v>
      </c>
      <c r="D13" s="336">
        <v>1</v>
      </c>
      <c r="E13" s="336">
        <v>2000</v>
      </c>
    </row>
    <row r="14" spans="1:5" ht="30">
      <c r="A14" s="336">
        <v>4</v>
      </c>
      <c r="B14" s="337" t="s">
        <v>460</v>
      </c>
      <c r="C14" s="336" t="s">
        <v>255</v>
      </c>
      <c r="D14" s="336">
        <v>1</v>
      </c>
      <c r="E14" s="336">
        <v>3000</v>
      </c>
    </row>
    <row r="15" spans="1:5" ht="30">
      <c r="A15" s="336">
        <v>5</v>
      </c>
      <c r="B15" s="337" t="s">
        <v>461</v>
      </c>
      <c r="C15" s="336" t="s">
        <v>255</v>
      </c>
      <c r="D15" s="336">
        <v>1</v>
      </c>
      <c r="E15" s="336">
        <v>500</v>
      </c>
    </row>
    <row r="16" spans="1:5" ht="15">
      <c r="A16" s="36"/>
      <c r="B16" s="36"/>
      <c r="C16" s="36"/>
      <c r="D16" s="36"/>
      <c r="E16" s="36"/>
    </row>
    <row r="17" spans="1:5" ht="15">
      <c r="A17" s="36"/>
      <c r="B17" s="36"/>
      <c r="C17" s="36"/>
      <c r="D17" s="36"/>
      <c r="E17" s="36"/>
    </row>
    <row r="18" spans="1:5" ht="15">
      <c r="A18" s="36" t="s">
        <v>306</v>
      </c>
      <c r="B18" s="36"/>
      <c r="C18" s="36"/>
      <c r="D18" s="36"/>
      <c r="E18" s="36"/>
    </row>
    <row r="20" spans="1:5" ht="15">
      <c r="A20" s="346" t="s">
        <v>25</v>
      </c>
      <c r="B20" s="346"/>
      <c r="C20" s="346"/>
      <c r="D20" s="346"/>
      <c r="E20" s="347"/>
    </row>
    <row r="21" spans="1:5" ht="15">
      <c r="A21" s="346" t="s">
        <v>26</v>
      </c>
      <c r="B21" s="346"/>
      <c r="C21" s="346"/>
      <c r="D21" s="346"/>
      <c r="E21" s="347"/>
    </row>
    <row r="22" spans="1:5" ht="17.25" customHeight="1">
      <c r="A22" s="346" t="s">
        <v>39</v>
      </c>
      <c r="B22" s="346"/>
      <c r="C22" s="346"/>
      <c r="D22" s="346"/>
      <c r="E22" s="347"/>
    </row>
    <row r="23" spans="1:5" ht="18.75" customHeight="1">
      <c r="A23" s="30"/>
      <c r="B23" s="30"/>
      <c r="C23" s="30"/>
      <c r="D23" s="30"/>
      <c r="E23" s="30" t="s">
        <v>495</v>
      </c>
    </row>
    <row r="24" spans="1:5" ht="15">
      <c r="A24" s="30"/>
      <c r="B24" s="30"/>
      <c r="C24" s="30"/>
      <c r="D24" s="30"/>
      <c r="E24" s="30"/>
    </row>
    <row r="25" spans="1:5" ht="15">
      <c r="A25" s="30"/>
      <c r="B25" s="30"/>
      <c r="C25" s="30"/>
      <c r="D25" s="30"/>
      <c r="E25" s="30"/>
    </row>
    <row r="26" spans="1:5" ht="15">
      <c r="A26" s="30"/>
      <c r="B26" s="30"/>
      <c r="C26" s="30"/>
      <c r="D26" s="30"/>
      <c r="E26" s="30"/>
    </row>
    <row r="27" spans="1:5" ht="15.75">
      <c r="A27" s="345" t="s">
        <v>463</v>
      </c>
      <c r="B27" s="345"/>
      <c r="C27" s="345"/>
      <c r="D27" s="345"/>
      <c r="E27" s="345"/>
    </row>
    <row r="28" spans="1:5" ht="12.75">
      <c r="A28" s="50"/>
      <c r="B28" s="50"/>
      <c r="C28" s="50"/>
      <c r="D28" s="50"/>
      <c r="E28" s="50"/>
    </row>
    <row r="29" spans="1:5" ht="15">
      <c r="A29" s="334" t="s">
        <v>28</v>
      </c>
      <c r="B29" s="267" t="s">
        <v>1</v>
      </c>
      <c r="C29" s="267" t="s">
        <v>63</v>
      </c>
      <c r="D29" s="267" t="s">
        <v>244</v>
      </c>
      <c r="E29" s="267" t="s">
        <v>456</v>
      </c>
    </row>
    <row r="30" spans="1:5" ht="15">
      <c r="A30" s="267">
        <v>1</v>
      </c>
      <c r="B30" s="335" t="s">
        <v>457</v>
      </c>
      <c r="C30" s="267" t="s">
        <v>255</v>
      </c>
      <c r="D30" s="267">
        <v>1</v>
      </c>
      <c r="E30" s="267">
        <v>200</v>
      </c>
    </row>
    <row r="31" spans="1:5" ht="30">
      <c r="A31" s="336">
        <v>2</v>
      </c>
      <c r="B31" s="337" t="s">
        <v>458</v>
      </c>
      <c r="C31" s="336" t="s">
        <v>255</v>
      </c>
      <c r="D31" s="336">
        <v>1</v>
      </c>
      <c r="E31" s="336">
        <v>600</v>
      </c>
    </row>
    <row r="32" spans="1:5" ht="30">
      <c r="A32" s="336">
        <v>3</v>
      </c>
      <c r="B32" s="337" t="s">
        <v>459</v>
      </c>
      <c r="C32" s="336" t="s">
        <v>255</v>
      </c>
      <c r="D32" s="336">
        <v>1</v>
      </c>
      <c r="E32" s="336">
        <v>2100</v>
      </c>
    </row>
    <row r="33" spans="1:5" ht="30">
      <c r="A33" s="336">
        <v>4</v>
      </c>
      <c r="B33" s="337" t="s">
        <v>460</v>
      </c>
      <c r="C33" s="336" t="s">
        <v>255</v>
      </c>
      <c r="D33" s="336">
        <v>1</v>
      </c>
      <c r="E33" s="336">
        <v>3100</v>
      </c>
    </row>
    <row r="34" spans="1:5" ht="30">
      <c r="A34" s="336">
        <v>5</v>
      </c>
      <c r="B34" s="337" t="s">
        <v>461</v>
      </c>
      <c r="C34" s="336" t="s">
        <v>255</v>
      </c>
      <c r="D34" s="336">
        <v>1</v>
      </c>
      <c r="E34" s="336">
        <v>600</v>
      </c>
    </row>
    <row r="35" spans="1:5" ht="15">
      <c r="A35" s="36"/>
      <c r="B35" s="36"/>
      <c r="C35" s="36"/>
      <c r="D35" s="36"/>
      <c r="E35" s="36"/>
    </row>
    <row r="36" spans="1:5" ht="15">
      <c r="A36" s="36"/>
      <c r="B36" s="36"/>
      <c r="C36" s="36"/>
      <c r="D36" s="36"/>
      <c r="E36" s="36"/>
    </row>
    <row r="37" spans="1:5" ht="15">
      <c r="A37" s="36" t="s">
        <v>306</v>
      </c>
      <c r="B37" s="36"/>
      <c r="C37" s="36"/>
      <c r="D37" s="36"/>
      <c r="E37" s="36"/>
    </row>
  </sheetData>
  <sheetProtection/>
  <mergeCells count="8">
    <mergeCell ref="A22:E22"/>
    <mergeCell ref="A27:E27"/>
    <mergeCell ref="A8:E8"/>
    <mergeCell ref="A1:E1"/>
    <mergeCell ref="A2:E2"/>
    <mergeCell ref="A3:E3"/>
    <mergeCell ref="A20:E20"/>
    <mergeCell ref="A21:E21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:K17"/>
    </sheetView>
  </sheetViews>
  <sheetFormatPr defaultColWidth="9.00390625" defaultRowHeight="12.75"/>
  <cols>
    <col min="1" max="1" width="26.75390625" style="0" customWidth="1"/>
    <col min="2" max="2" width="5.375" style="0" customWidth="1"/>
    <col min="3" max="3" width="8.00390625" style="0" customWidth="1"/>
    <col min="4" max="4" width="13.00390625" style="0" customWidth="1"/>
    <col min="5" max="5" width="9.00390625" style="0" customWidth="1"/>
    <col min="6" max="6" width="10.625" style="0" customWidth="1"/>
    <col min="7" max="7" width="9.875" style="0" customWidth="1"/>
    <col min="9" max="9" width="14.625" style="0" customWidth="1"/>
    <col min="10" max="10" width="9.00390625" style="0" customWidth="1"/>
  </cols>
  <sheetData>
    <row r="1" spans="1:11" ht="12.75">
      <c r="A1" s="415" t="s">
        <v>223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</row>
    <row r="2" spans="1:11" ht="12.75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.75">
      <c r="A3" s="414"/>
      <c r="B3" s="413" t="s">
        <v>208</v>
      </c>
      <c r="C3" s="348" t="s">
        <v>211</v>
      </c>
      <c r="D3" s="416" t="s">
        <v>91</v>
      </c>
      <c r="E3" s="416"/>
      <c r="F3" s="416"/>
      <c r="G3" s="416"/>
      <c r="H3" s="416"/>
      <c r="I3" s="416"/>
      <c r="J3" s="348" t="s">
        <v>209</v>
      </c>
      <c r="K3" s="413" t="s">
        <v>13</v>
      </c>
    </row>
    <row r="4" spans="1:11" ht="25.5" customHeight="1">
      <c r="A4" s="414"/>
      <c r="B4" s="413"/>
      <c r="C4" s="348"/>
      <c r="D4" s="240" t="s">
        <v>214</v>
      </c>
      <c r="E4" s="240" t="s">
        <v>215</v>
      </c>
      <c r="F4" s="240" t="s">
        <v>216</v>
      </c>
      <c r="G4" s="240" t="s">
        <v>217</v>
      </c>
      <c r="H4" s="240" t="s">
        <v>218</v>
      </c>
      <c r="I4" s="240" t="s">
        <v>219</v>
      </c>
      <c r="J4" s="348"/>
      <c r="K4" s="413"/>
    </row>
    <row r="5" spans="1:11" ht="12.75">
      <c r="A5" s="241" t="s">
        <v>212</v>
      </c>
      <c r="B5" s="16">
        <v>33</v>
      </c>
      <c r="C5" s="16">
        <v>3</v>
      </c>
      <c r="D5" s="16">
        <v>6.44</v>
      </c>
      <c r="E5" s="16">
        <v>3.18</v>
      </c>
      <c r="F5" s="16">
        <v>13.33</v>
      </c>
      <c r="G5" s="16">
        <v>33.97</v>
      </c>
      <c r="H5" s="16">
        <v>28.71</v>
      </c>
      <c r="I5" s="16">
        <v>56.08</v>
      </c>
      <c r="J5" s="16">
        <v>1</v>
      </c>
      <c r="K5" s="16">
        <f>(C5*(G5+H5+I5))+(B5*(D5+E5+F5))*J5</f>
        <v>1113.63</v>
      </c>
    </row>
    <row r="6" spans="1:11" ht="12.75">
      <c r="A6" s="1" t="s">
        <v>210</v>
      </c>
      <c r="B6" s="16">
        <v>33</v>
      </c>
      <c r="C6" s="16">
        <v>3</v>
      </c>
      <c r="D6" s="16">
        <v>9.05</v>
      </c>
      <c r="E6" s="16">
        <v>3.18</v>
      </c>
      <c r="F6" s="16">
        <v>13.33</v>
      </c>
      <c r="G6" s="16">
        <v>33.97</v>
      </c>
      <c r="H6" s="16">
        <v>28.71</v>
      </c>
      <c r="I6" s="16">
        <v>56.08</v>
      </c>
      <c r="J6" s="16">
        <v>4</v>
      </c>
      <c r="K6" s="16">
        <f>(D6*B6+E6*B6+F6*B6+G6*C6+H6*C6+I6*C6)*4</f>
        <v>4799.04</v>
      </c>
    </row>
    <row r="7" spans="1:11" ht="12.75">
      <c r="A7" s="1" t="s">
        <v>43</v>
      </c>
      <c r="B7" s="16">
        <v>33</v>
      </c>
      <c r="C7" s="16">
        <v>3</v>
      </c>
      <c r="D7" s="16">
        <v>10.54</v>
      </c>
      <c r="E7" s="16">
        <v>3.58</v>
      </c>
      <c r="F7" s="16">
        <v>15.15</v>
      </c>
      <c r="G7" s="16">
        <v>39.21</v>
      </c>
      <c r="H7" s="16">
        <v>31.95</v>
      </c>
      <c r="I7" s="16">
        <v>63.41</v>
      </c>
      <c r="J7" s="16">
        <v>12</v>
      </c>
      <c r="K7" s="16">
        <f>(D7*B7+E7*B7+F7*B7+G7*C7+H7*C7+I7*C7)*12</f>
        <v>16435.44</v>
      </c>
    </row>
    <row r="8" spans="1:11" ht="12.75">
      <c r="A8" s="1" t="s">
        <v>213</v>
      </c>
      <c r="B8" s="16">
        <v>33</v>
      </c>
      <c r="C8" s="16">
        <v>3</v>
      </c>
      <c r="D8" s="16">
        <v>11.63</v>
      </c>
      <c r="E8" s="16">
        <v>3.58</v>
      </c>
      <c r="F8" s="16">
        <v>18.84</v>
      </c>
      <c r="G8" s="16">
        <v>48.68</v>
      </c>
      <c r="H8" s="16">
        <v>43.17</v>
      </c>
      <c r="I8" s="16">
        <v>76</v>
      </c>
      <c r="J8" s="16">
        <v>7</v>
      </c>
      <c r="K8" s="16">
        <f>(D8*B8+E8*B8+F8*B8+G8*C8+H8*C8+I8*C8)*7</f>
        <v>11390.4</v>
      </c>
    </row>
    <row r="9" ht="12.75">
      <c r="K9" s="16">
        <f>SUM(K5:K8)</f>
        <v>33738.51</v>
      </c>
    </row>
    <row r="10" spans="1:4" ht="12.75">
      <c r="A10" t="s">
        <v>220</v>
      </c>
      <c r="B10" t="s">
        <v>221</v>
      </c>
      <c r="D10" t="s">
        <v>222</v>
      </c>
    </row>
    <row r="11" ht="12.75">
      <c r="A11" t="s">
        <v>225</v>
      </c>
    </row>
    <row r="13" spans="1:3" ht="12.75">
      <c r="A13" s="28" t="s">
        <v>280</v>
      </c>
      <c r="B13" s="28"/>
      <c r="C13" s="28"/>
    </row>
    <row r="15" ht="12.75">
      <c r="A15" t="s">
        <v>224</v>
      </c>
    </row>
    <row r="17" spans="4:9" ht="12.75">
      <c r="D17" s="175">
        <f>D5*B5/31*15</f>
        <v>102.83225806451613</v>
      </c>
      <c r="E17" s="175">
        <f>E5*B5/31*15</f>
        <v>50.77741935483872</v>
      </c>
      <c r="F17">
        <f>F5*B5/31*15</f>
        <v>212.85</v>
      </c>
      <c r="G17" s="175">
        <f>G5*C5/31*15</f>
        <v>49.31129032258064</v>
      </c>
      <c r="H17" s="175">
        <f>H5*C5/31*15</f>
        <v>41.6758064516129</v>
      </c>
      <c r="I17" s="175">
        <f>I5*C5/31*15</f>
        <v>81.40645161290324</v>
      </c>
    </row>
  </sheetData>
  <sheetProtection/>
  <mergeCells count="7">
    <mergeCell ref="K3:K4"/>
    <mergeCell ref="A3:A4"/>
    <mergeCell ref="A1:K1"/>
    <mergeCell ref="D3:I3"/>
    <mergeCell ref="B3:B4"/>
    <mergeCell ref="C3:C4"/>
    <mergeCell ref="J3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14.375" style="0" customWidth="1"/>
    <col min="2" max="2" width="10.375" style="0" customWidth="1"/>
    <col min="3" max="3" width="12.25390625" style="0" customWidth="1"/>
    <col min="4" max="4" width="11.00390625" style="0" customWidth="1"/>
    <col min="5" max="5" width="18.875" style="0" customWidth="1"/>
    <col min="6" max="6" width="25.375" style="0" customWidth="1"/>
    <col min="8" max="8" width="9.625" style="0" bestFit="1" customWidth="1"/>
  </cols>
  <sheetData>
    <row r="1" spans="1:8" ht="12.75">
      <c r="A1" s="417" t="s">
        <v>240</v>
      </c>
      <c r="B1" s="417"/>
      <c r="C1" s="417"/>
      <c r="D1" s="417"/>
      <c r="E1" s="417"/>
      <c r="F1" s="417"/>
      <c r="G1" s="417"/>
      <c r="H1" s="417"/>
    </row>
    <row r="2" spans="1:8" ht="25.5" customHeight="1">
      <c r="A2" s="244" t="s">
        <v>117</v>
      </c>
      <c r="B2" s="244" t="s">
        <v>235</v>
      </c>
      <c r="C2" s="244" t="s">
        <v>236</v>
      </c>
      <c r="D2" s="244" t="s">
        <v>237</v>
      </c>
      <c r="E2" s="245" t="s">
        <v>333</v>
      </c>
      <c r="F2" s="245" t="s">
        <v>238</v>
      </c>
      <c r="G2" s="245" t="s">
        <v>209</v>
      </c>
      <c r="H2" s="245" t="s">
        <v>239</v>
      </c>
    </row>
    <row r="3" spans="1:8" ht="12.75">
      <c r="A3" s="1" t="s">
        <v>232</v>
      </c>
      <c r="B3" s="246">
        <v>4983.1</v>
      </c>
      <c r="C3" s="246">
        <v>596.8</v>
      </c>
      <c r="D3" s="246">
        <f>B3+C3</f>
        <v>5579.900000000001</v>
      </c>
      <c r="E3" s="246">
        <v>97782.16</v>
      </c>
      <c r="F3" s="16">
        <v>600</v>
      </c>
      <c r="G3" s="16">
        <v>3</v>
      </c>
      <c r="H3" s="246">
        <f>(G3*F3+E3)/D3</f>
        <v>17.846585064248462</v>
      </c>
    </row>
    <row r="4" spans="1:8" ht="12.75">
      <c r="A4" s="1" t="s">
        <v>233</v>
      </c>
      <c r="B4" s="246">
        <v>3709.4</v>
      </c>
      <c r="C4" s="246">
        <v>574.5</v>
      </c>
      <c r="D4" s="246">
        <f>B4+C4</f>
        <v>4283.9</v>
      </c>
      <c r="E4" s="246">
        <v>91097</v>
      </c>
      <c r="F4" s="16">
        <v>600</v>
      </c>
      <c r="G4" s="16">
        <v>3</v>
      </c>
      <c r="H4" s="246">
        <f>(G4*F4+E4)/D4</f>
        <v>21.68514671210813</v>
      </c>
    </row>
    <row r="5" spans="1:8" ht="12.75">
      <c r="A5" s="1" t="s">
        <v>234</v>
      </c>
      <c r="B5" s="246">
        <v>2363.5</v>
      </c>
      <c r="C5" s="246">
        <v>101.5</v>
      </c>
      <c r="D5" s="246">
        <f>B5+C5</f>
        <v>2465</v>
      </c>
      <c r="E5" s="246">
        <v>78089</v>
      </c>
      <c r="F5" s="16">
        <v>600</v>
      </c>
      <c r="G5" s="16">
        <v>3</v>
      </c>
      <c r="H5" s="246">
        <f>(G5*F5+E5)/D5</f>
        <v>32.40933062880325</v>
      </c>
    </row>
    <row r="7" ht="12.75">
      <c r="A7" t="s">
        <v>241</v>
      </c>
    </row>
    <row r="9" ht="12.75">
      <c r="A9" t="s">
        <v>187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6">
      <selection activeCell="A23" sqref="A23:J30"/>
    </sheetView>
  </sheetViews>
  <sheetFormatPr defaultColWidth="9.00390625" defaultRowHeight="12.75"/>
  <cols>
    <col min="1" max="1" width="2.375" style="0" customWidth="1"/>
    <col min="2" max="2" width="11.25390625" style="0" customWidth="1"/>
    <col min="3" max="3" width="22.875" style="0" customWidth="1"/>
    <col min="4" max="4" width="7.875" style="0" customWidth="1"/>
    <col min="5" max="5" width="7.125" style="0" customWidth="1"/>
    <col min="6" max="6" width="6.375" style="0" customWidth="1"/>
    <col min="7" max="7" width="6.25390625" style="0" customWidth="1"/>
    <col min="8" max="8" width="7.375" style="0" customWidth="1"/>
    <col min="9" max="9" width="7.125" style="0" customWidth="1"/>
    <col min="10" max="10" width="7.875" style="0" customWidth="1"/>
  </cols>
  <sheetData>
    <row r="1" spans="1:10" ht="12.75">
      <c r="A1" s="418" t="s">
        <v>256</v>
      </c>
      <c r="B1" s="418"/>
      <c r="C1" s="418"/>
      <c r="D1" s="418"/>
      <c r="E1" s="418"/>
      <c r="F1" s="418"/>
      <c r="G1" s="418"/>
      <c r="H1" s="418"/>
      <c r="I1" s="418"/>
      <c r="J1" s="418"/>
    </row>
    <row r="2" ht="13.5" thickBot="1"/>
    <row r="3" spans="1:10" ht="38.25">
      <c r="A3" s="247" t="s">
        <v>4</v>
      </c>
      <c r="B3" s="248" t="s">
        <v>242</v>
      </c>
      <c r="C3" s="248" t="s">
        <v>1</v>
      </c>
      <c r="D3" s="248" t="s">
        <v>243</v>
      </c>
      <c r="E3" s="248" t="s">
        <v>244</v>
      </c>
      <c r="F3" s="248" t="s">
        <v>245</v>
      </c>
      <c r="G3" s="248" t="s">
        <v>246</v>
      </c>
      <c r="H3" s="248" t="s">
        <v>247</v>
      </c>
      <c r="I3" s="248" t="s">
        <v>248</v>
      </c>
      <c r="J3" s="249" t="s">
        <v>249</v>
      </c>
    </row>
    <row r="4" spans="1:10" ht="25.5" customHeight="1">
      <c r="A4" s="250">
        <v>1</v>
      </c>
      <c r="B4" s="251" t="s">
        <v>250</v>
      </c>
      <c r="C4" s="252" t="s">
        <v>251</v>
      </c>
      <c r="D4" s="253" t="s">
        <v>252</v>
      </c>
      <c r="E4" s="253">
        <v>19.79</v>
      </c>
      <c r="F4" s="253">
        <v>1.27</v>
      </c>
      <c r="G4" s="254">
        <f>E4*F4</f>
        <v>25.1333</v>
      </c>
      <c r="H4" s="253">
        <v>3</v>
      </c>
      <c r="I4" s="253">
        <v>101.37</v>
      </c>
      <c r="J4" s="255">
        <f>G4*I4</f>
        <v>2547.762621</v>
      </c>
    </row>
    <row r="5" spans="1:10" ht="25.5">
      <c r="A5" s="250">
        <v>2</v>
      </c>
      <c r="B5" s="253" t="s">
        <v>253</v>
      </c>
      <c r="C5" s="256" t="s">
        <v>254</v>
      </c>
      <c r="D5" s="253" t="s">
        <v>255</v>
      </c>
      <c r="E5" s="253">
        <v>4</v>
      </c>
      <c r="F5" s="253"/>
      <c r="G5" s="254"/>
      <c r="H5" s="253"/>
      <c r="I5" s="253">
        <v>150</v>
      </c>
      <c r="J5" s="255">
        <f>E5*I5</f>
        <v>600</v>
      </c>
    </row>
    <row r="6" spans="1:10" ht="12.75">
      <c r="A6" s="257"/>
      <c r="B6" s="258"/>
      <c r="C6" s="258"/>
      <c r="D6" s="259"/>
      <c r="E6" s="253"/>
      <c r="F6" s="253"/>
      <c r="G6" s="253"/>
      <c r="H6" s="253"/>
      <c r="I6" s="253"/>
      <c r="J6" s="255">
        <f>SUM(J4:J5)</f>
        <v>3147.762621</v>
      </c>
    </row>
    <row r="7" spans="1:10" ht="12.75">
      <c r="A7" s="257"/>
      <c r="B7" s="258"/>
      <c r="C7" s="258"/>
      <c r="D7" s="259"/>
      <c r="E7" s="253"/>
      <c r="F7" s="253"/>
      <c r="G7" s="253"/>
      <c r="H7" s="253"/>
      <c r="I7" s="260">
        <v>0.15</v>
      </c>
      <c r="J7" s="261">
        <f>J6*15/100</f>
        <v>472.16439314999997</v>
      </c>
    </row>
    <row r="8" spans="1:10" ht="13.5" thickBot="1">
      <c r="A8" s="262"/>
      <c r="B8" s="263"/>
      <c r="C8" s="263"/>
      <c r="D8" s="264"/>
      <c r="E8" s="265"/>
      <c r="F8" s="265"/>
      <c r="G8" s="265"/>
      <c r="H8" s="265"/>
      <c r="I8" s="265"/>
      <c r="J8" s="266">
        <f>J6+J7</f>
        <v>3619.9270141499996</v>
      </c>
    </row>
    <row r="10" ht="12.75">
      <c r="B10" t="s">
        <v>262</v>
      </c>
    </row>
    <row r="14" spans="1:10" ht="12.75">
      <c r="A14" s="418" t="s">
        <v>473</v>
      </c>
      <c r="B14" s="418"/>
      <c r="C14" s="418"/>
      <c r="D14" s="418"/>
      <c r="E14" s="418"/>
      <c r="F14" s="418"/>
      <c r="G14" s="418"/>
      <c r="H14" s="418"/>
      <c r="I14" s="418"/>
      <c r="J14" s="418"/>
    </row>
    <row r="15" ht="13.5" thickBot="1"/>
    <row r="16" spans="1:10" ht="38.25">
      <c r="A16" s="247" t="s">
        <v>4</v>
      </c>
      <c r="B16" s="248" t="s">
        <v>242</v>
      </c>
      <c r="C16" s="248" t="s">
        <v>1</v>
      </c>
      <c r="D16" s="248" t="s">
        <v>243</v>
      </c>
      <c r="E16" s="248" t="s">
        <v>244</v>
      </c>
      <c r="F16" s="248" t="s">
        <v>245</v>
      </c>
      <c r="G16" s="248" t="s">
        <v>246</v>
      </c>
      <c r="H16" s="248" t="s">
        <v>247</v>
      </c>
      <c r="I16" s="248" t="s">
        <v>248</v>
      </c>
      <c r="J16" s="249" t="s">
        <v>249</v>
      </c>
    </row>
    <row r="17" spans="1:10" ht="25.5" customHeight="1">
      <c r="A17" s="250">
        <v>1</v>
      </c>
      <c r="B17" s="251" t="s">
        <v>250</v>
      </c>
      <c r="C17" s="252" t="s">
        <v>251</v>
      </c>
      <c r="D17" s="251" t="s">
        <v>465</v>
      </c>
      <c r="E17" s="253">
        <v>20.838</v>
      </c>
      <c r="F17" s="253">
        <v>1.27</v>
      </c>
      <c r="G17" s="254">
        <f>E17*F17</f>
        <v>26.464260000000003</v>
      </c>
      <c r="H17" s="253">
        <v>3</v>
      </c>
      <c r="I17" s="253">
        <v>101.37</v>
      </c>
      <c r="J17" s="255">
        <f>G17*I17</f>
        <v>2682.6820362000003</v>
      </c>
    </row>
    <row r="18" spans="1:10" ht="63.75">
      <c r="A18" s="250">
        <v>2</v>
      </c>
      <c r="B18" s="253"/>
      <c r="C18" s="256" t="s">
        <v>466</v>
      </c>
      <c r="D18" s="253" t="s">
        <v>467</v>
      </c>
      <c r="E18" s="253">
        <v>6</v>
      </c>
      <c r="F18" s="253"/>
      <c r="G18" s="254"/>
      <c r="H18" s="253"/>
      <c r="I18" s="253">
        <v>60.5</v>
      </c>
      <c r="J18" s="255">
        <f>E18*I18</f>
        <v>363</v>
      </c>
    </row>
    <row r="19" spans="1:10" ht="12.75">
      <c r="A19" s="257"/>
      <c r="B19" s="258"/>
      <c r="C19" s="258"/>
      <c r="D19" s="259"/>
      <c r="E19" s="253"/>
      <c r="F19" s="253"/>
      <c r="G19" s="253"/>
      <c r="H19" s="253"/>
      <c r="I19" s="253"/>
      <c r="J19" s="255">
        <f>SUM(J17:J18)</f>
        <v>3045.6820362000003</v>
      </c>
    </row>
    <row r="21" ht="12.75">
      <c r="B21" t="s">
        <v>257</v>
      </c>
    </row>
    <row r="23" spans="1:10" ht="12.75">
      <c r="A23" s="418" t="s">
        <v>484</v>
      </c>
      <c r="B23" s="418"/>
      <c r="C23" s="418"/>
      <c r="D23" s="418"/>
      <c r="E23" s="418"/>
      <c r="F23" s="418"/>
      <c r="G23" s="418"/>
      <c r="H23" s="418"/>
      <c r="I23" s="418"/>
      <c r="J23" s="418"/>
    </row>
    <row r="24" ht="13.5" thickBot="1"/>
    <row r="25" spans="1:10" ht="38.25">
      <c r="A25" s="247" t="s">
        <v>4</v>
      </c>
      <c r="B25" s="248" t="s">
        <v>242</v>
      </c>
      <c r="C25" s="248" t="s">
        <v>1</v>
      </c>
      <c r="D25" s="248" t="s">
        <v>243</v>
      </c>
      <c r="E25" s="248" t="s">
        <v>244</v>
      </c>
      <c r="F25" s="248" t="s">
        <v>245</v>
      </c>
      <c r="G25" s="248" t="s">
        <v>246</v>
      </c>
      <c r="H25" s="248" t="s">
        <v>247</v>
      </c>
      <c r="I25" s="248" t="s">
        <v>248</v>
      </c>
      <c r="J25" s="249" t="s">
        <v>249</v>
      </c>
    </row>
    <row r="26" spans="1:10" ht="25.5" customHeight="1">
      <c r="A26" s="250">
        <v>1</v>
      </c>
      <c r="B26" s="251" t="s">
        <v>250</v>
      </c>
      <c r="C26" s="252" t="s">
        <v>251</v>
      </c>
      <c r="D26" s="251" t="s">
        <v>465</v>
      </c>
      <c r="E26" s="253">
        <v>9.838</v>
      </c>
      <c r="F26" s="253">
        <v>1.27</v>
      </c>
      <c r="G26" s="254">
        <f>E26*F26</f>
        <v>12.494259999999999</v>
      </c>
      <c r="H26" s="253">
        <v>3</v>
      </c>
      <c r="I26" s="253">
        <v>101.37</v>
      </c>
      <c r="J26" s="255">
        <f>G26*I26</f>
        <v>1266.5431362</v>
      </c>
    </row>
    <row r="27" spans="1:10" ht="63.75">
      <c r="A27" s="250">
        <v>2</v>
      </c>
      <c r="B27" s="253"/>
      <c r="C27" s="256" t="s">
        <v>466</v>
      </c>
      <c r="D27" s="253" t="s">
        <v>467</v>
      </c>
      <c r="E27" s="253">
        <v>5</v>
      </c>
      <c r="F27" s="253"/>
      <c r="G27" s="254"/>
      <c r="H27" s="253"/>
      <c r="I27" s="253">
        <v>65.22</v>
      </c>
      <c r="J27" s="255">
        <f>E27*I27</f>
        <v>326.1</v>
      </c>
    </row>
    <row r="28" spans="1:10" ht="12.75">
      <c r="A28" s="257"/>
      <c r="B28" s="258"/>
      <c r="C28" s="258"/>
      <c r="D28" s="259"/>
      <c r="E28" s="253"/>
      <c r="F28" s="253"/>
      <c r="G28" s="253"/>
      <c r="H28" s="253"/>
      <c r="I28" s="253"/>
      <c r="J28" s="255">
        <f>SUM(J26:J27)</f>
        <v>1592.6431361999998</v>
      </c>
    </row>
    <row r="30" ht="12.75">
      <c r="B30" t="s">
        <v>257</v>
      </c>
    </row>
  </sheetData>
  <sheetProtection/>
  <mergeCells count="3">
    <mergeCell ref="A1:J1"/>
    <mergeCell ref="A14:J14"/>
    <mergeCell ref="A23:J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A2" sqref="A2:D7"/>
    </sheetView>
  </sheetViews>
  <sheetFormatPr defaultColWidth="9.00390625" defaultRowHeight="12.75"/>
  <cols>
    <col min="1" max="1" width="20.75390625" style="0" customWidth="1"/>
    <col min="2" max="2" width="15.25390625" style="0" customWidth="1"/>
    <col min="3" max="3" width="27.00390625" style="0" customWidth="1"/>
    <col min="4" max="4" width="21.125" style="0" customWidth="1"/>
    <col min="5" max="5" width="6.125" style="0" customWidth="1"/>
    <col min="6" max="6" width="6.875" style="0" customWidth="1"/>
    <col min="7" max="7" width="7.00390625" style="0" customWidth="1"/>
    <col min="8" max="8" width="6.75390625" style="0" customWidth="1"/>
    <col min="9" max="9" width="7.625" style="0" customWidth="1"/>
  </cols>
  <sheetData>
    <row r="2" spans="1:4" ht="28.5" customHeight="1">
      <c r="A2" s="419" t="s">
        <v>485</v>
      </c>
      <c r="B2" s="419"/>
      <c r="C2" s="419"/>
      <c r="D2" s="419"/>
    </row>
    <row r="3" spans="1:4" ht="15">
      <c r="A3" s="36"/>
      <c r="B3" s="36"/>
      <c r="C3" s="36"/>
      <c r="D3" s="36"/>
    </row>
    <row r="4" spans="1:4" ht="15">
      <c r="A4" s="267" t="s">
        <v>259</v>
      </c>
      <c r="B4" s="267" t="s">
        <v>258</v>
      </c>
      <c r="C4" s="267" t="s">
        <v>468</v>
      </c>
      <c r="D4" s="267" t="s">
        <v>260</v>
      </c>
    </row>
    <row r="5" spans="1:4" ht="15">
      <c r="A5" s="268">
        <v>1266.54</v>
      </c>
      <c r="B5" s="268">
        <f>A5*0.06</f>
        <v>75.99239999999999</v>
      </c>
      <c r="C5" s="268">
        <f>A5*0.15</f>
        <v>189.981</v>
      </c>
      <c r="D5" s="268">
        <f>A5-B5-C5</f>
        <v>1000.5665999999999</v>
      </c>
    </row>
    <row r="6" spans="1:4" ht="15">
      <c r="A6" s="36"/>
      <c r="B6" s="36"/>
      <c r="C6" s="36"/>
      <c r="D6" s="36"/>
    </row>
    <row r="7" spans="1:4" ht="15">
      <c r="A7" s="36" t="s">
        <v>261</v>
      </c>
      <c r="B7" s="36"/>
      <c r="C7" s="36"/>
      <c r="D7" s="36"/>
    </row>
    <row r="12" spans="1:4" ht="25.5" customHeight="1">
      <c r="A12" s="420" t="s">
        <v>309</v>
      </c>
      <c r="B12" s="420"/>
      <c r="C12" s="420"/>
      <c r="D12" s="420"/>
    </row>
    <row r="14" ht="12.75">
      <c r="A14" t="s">
        <v>310</v>
      </c>
    </row>
    <row r="16" ht="12.75">
      <c r="A16" t="s">
        <v>306</v>
      </c>
    </row>
  </sheetData>
  <sheetProtection/>
  <mergeCells count="2">
    <mergeCell ref="A2:D2"/>
    <mergeCell ref="A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B60" sqref="B60"/>
    </sheetView>
  </sheetViews>
  <sheetFormatPr defaultColWidth="9.00390625" defaultRowHeight="12.75"/>
  <cols>
    <col min="1" max="1" width="59.125" style="0" customWidth="1"/>
    <col min="2" max="2" width="9.875" style="0" customWidth="1"/>
    <col min="3" max="3" width="10.375" style="0" customWidth="1"/>
    <col min="4" max="4" width="10.625" style="0" customWidth="1"/>
    <col min="5" max="5" width="10.00390625" style="0" customWidth="1"/>
  </cols>
  <sheetData>
    <row r="1" ht="12.75">
      <c r="A1" t="s">
        <v>157</v>
      </c>
    </row>
    <row r="2" ht="12.75">
      <c r="A2" s="28" t="s">
        <v>275</v>
      </c>
    </row>
    <row r="3" spans="1:3" ht="12.75">
      <c r="A3" s="1"/>
      <c r="B3" s="1" t="s">
        <v>273</v>
      </c>
      <c r="C3" s="1" t="s">
        <v>274</v>
      </c>
    </row>
    <row r="4" spans="1:3" ht="12.75">
      <c r="A4" s="1" t="s">
        <v>268</v>
      </c>
      <c r="B4" s="16">
        <v>1.21</v>
      </c>
      <c r="C4" s="16">
        <v>1.21</v>
      </c>
    </row>
    <row r="5" spans="1:3" ht="12.75">
      <c r="A5" s="1" t="s">
        <v>276</v>
      </c>
      <c r="B5" s="16">
        <v>1793</v>
      </c>
      <c r="C5" s="16">
        <v>1793</v>
      </c>
    </row>
    <row r="6" spans="1:3" ht="12.75">
      <c r="A6" s="1" t="s">
        <v>269</v>
      </c>
      <c r="B6" s="16">
        <v>1.6</v>
      </c>
      <c r="C6" s="16">
        <v>1.6</v>
      </c>
    </row>
    <row r="7" spans="1:3" ht="12.75">
      <c r="A7" s="1" t="s">
        <v>228</v>
      </c>
      <c r="B7" s="16">
        <v>1.05</v>
      </c>
      <c r="C7" s="16">
        <v>1.2</v>
      </c>
    </row>
    <row r="8" spans="1:3" ht="12.75">
      <c r="A8" s="1" t="s">
        <v>270</v>
      </c>
      <c r="B8" s="246">
        <f>B4*B5*B6*B7</f>
        <v>3644.8104</v>
      </c>
      <c r="C8" s="246">
        <f>C4*C5*C6*C7</f>
        <v>4165.4976</v>
      </c>
    </row>
    <row r="9" spans="1:3" ht="12.75">
      <c r="A9" s="1" t="s">
        <v>271</v>
      </c>
      <c r="B9" s="246">
        <f>B8*0.13</f>
        <v>473.825352</v>
      </c>
      <c r="C9" s="246">
        <f>C8*0.13</f>
        <v>541.514688</v>
      </c>
    </row>
    <row r="10" spans="1:3" ht="12.75">
      <c r="A10" s="1" t="s">
        <v>272</v>
      </c>
      <c r="B10" s="269">
        <f>B8-B9</f>
        <v>3170.985048</v>
      </c>
      <c r="C10" s="269">
        <f>C8-C9</f>
        <v>3623.9829119999995</v>
      </c>
    </row>
    <row r="12" ht="12.75">
      <c r="A12" s="28" t="s">
        <v>277</v>
      </c>
    </row>
    <row r="13" spans="1:3" ht="12.75">
      <c r="A13" s="1"/>
      <c r="B13" s="1" t="s">
        <v>273</v>
      </c>
      <c r="C13" s="1" t="s">
        <v>274</v>
      </c>
    </row>
    <row r="14" spans="1:3" ht="12.75">
      <c r="A14" s="1" t="s">
        <v>268</v>
      </c>
      <c r="B14" s="16">
        <v>1.21</v>
      </c>
      <c r="C14" s="16">
        <v>1.21</v>
      </c>
    </row>
    <row r="15" spans="1:3" ht="12.75">
      <c r="A15" s="1" t="s">
        <v>279</v>
      </c>
      <c r="B15" s="16">
        <v>3055</v>
      </c>
      <c r="C15" s="16">
        <v>3055</v>
      </c>
    </row>
    <row r="16" spans="1:3" ht="12.75">
      <c r="A16" s="1" t="s">
        <v>269</v>
      </c>
      <c r="B16" s="16">
        <v>1.6</v>
      </c>
      <c r="C16" s="16">
        <v>1.6</v>
      </c>
    </row>
    <row r="17" spans="1:3" ht="12.75">
      <c r="A17" s="1" t="s">
        <v>228</v>
      </c>
      <c r="B17" s="16">
        <v>1.05</v>
      </c>
      <c r="C17" s="16">
        <v>1.2</v>
      </c>
    </row>
    <row r="18" spans="1:3" ht="12.75">
      <c r="A18" s="1" t="s">
        <v>270</v>
      </c>
      <c r="B18" s="246">
        <f>B14*B15*B16*B17</f>
        <v>6210.204</v>
      </c>
      <c r="C18" s="246">
        <f>C14*C15*C16*C17</f>
        <v>7097.375999999999</v>
      </c>
    </row>
    <row r="19" spans="1:3" ht="12.75">
      <c r="A19" s="1" t="s">
        <v>271</v>
      </c>
      <c r="B19" s="246">
        <f>B18*0.13</f>
        <v>807.32652</v>
      </c>
      <c r="C19" s="246">
        <f>C18*0.13</f>
        <v>922.65888</v>
      </c>
    </row>
    <row r="20" spans="1:3" ht="12.75">
      <c r="A20" s="1" t="s">
        <v>272</v>
      </c>
      <c r="B20" s="269">
        <f>B18-B19</f>
        <v>5402.87748</v>
      </c>
      <c r="C20" s="269">
        <f>C18-C19</f>
        <v>6174.717119999999</v>
      </c>
    </row>
    <row r="22" spans="1:2" ht="12.75">
      <c r="A22" s="28" t="s">
        <v>278</v>
      </c>
      <c r="B22" s="270">
        <v>0.74</v>
      </c>
    </row>
    <row r="25" spans="1:4" ht="12.75">
      <c r="A25" s="421" t="s">
        <v>406</v>
      </c>
      <c r="B25" s="421"/>
      <c r="C25" s="347"/>
      <c r="D25" s="347"/>
    </row>
    <row r="27" spans="1:2" ht="12.75">
      <c r="A27" s="1" t="s">
        <v>403</v>
      </c>
      <c r="B27" s="16">
        <v>14433.95</v>
      </c>
    </row>
    <row r="28" spans="1:2" ht="12.75">
      <c r="A28" s="1" t="s">
        <v>402</v>
      </c>
      <c r="B28" s="246">
        <v>26000</v>
      </c>
    </row>
    <row r="29" spans="1:2" ht="12.75">
      <c r="A29" s="1" t="s">
        <v>404</v>
      </c>
      <c r="B29" s="246">
        <v>2130</v>
      </c>
    </row>
    <row r="30" spans="1:2" ht="12.75">
      <c r="A30" s="1" t="s">
        <v>405</v>
      </c>
      <c r="B30" s="16">
        <v>1186.74</v>
      </c>
    </row>
    <row r="31" ht="12.75">
      <c r="B31" s="279">
        <v>7200</v>
      </c>
    </row>
    <row r="33" spans="1:4" ht="12.75">
      <c r="A33" s="16" t="s">
        <v>111</v>
      </c>
      <c r="B33" s="16" t="s">
        <v>91</v>
      </c>
      <c r="C33" s="1" t="s">
        <v>407</v>
      </c>
      <c r="D33" s="16" t="s">
        <v>408</v>
      </c>
    </row>
    <row r="34" spans="1:4" ht="12.75">
      <c r="A34" s="16">
        <v>6144.2</v>
      </c>
      <c r="B34" s="16">
        <v>0.2</v>
      </c>
      <c r="C34" s="16">
        <v>10</v>
      </c>
      <c r="D34" s="279">
        <f>A34*B34*C34</f>
        <v>12288.400000000001</v>
      </c>
    </row>
    <row r="36" spans="1:4" ht="12.75">
      <c r="A36" s="421" t="s">
        <v>413</v>
      </c>
      <c r="B36" s="421"/>
      <c r="C36" s="421"/>
      <c r="D36" s="421"/>
    </row>
    <row r="38" spans="1:3" ht="12.75">
      <c r="A38" s="1" t="s">
        <v>409</v>
      </c>
      <c r="B38" s="16">
        <f>B31-D34</f>
        <v>-5088.4000000000015</v>
      </c>
      <c r="C38" s="1" t="s">
        <v>83</v>
      </c>
    </row>
    <row r="39" spans="1:3" ht="12.75">
      <c r="A39" s="280" t="s">
        <v>91</v>
      </c>
      <c r="B39" s="269">
        <f>B38/A34/2</f>
        <v>-0.41408157286546676</v>
      </c>
      <c r="C39" s="280" t="s">
        <v>83</v>
      </c>
    </row>
    <row r="41" spans="1:3" ht="12.75">
      <c r="A41" s="28" t="s">
        <v>410</v>
      </c>
      <c r="B41" s="315">
        <f>B31/A34/12</f>
        <v>0.09765307118908889</v>
      </c>
      <c r="C41" s="28" t="s">
        <v>83</v>
      </c>
    </row>
    <row r="43" ht="12.75">
      <c r="A43" s="150" t="s">
        <v>412</v>
      </c>
    </row>
    <row r="46" spans="1:4" ht="12.75">
      <c r="A46" s="421" t="s">
        <v>477</v>
      </c>
      <c r="B46" s="421"/>
      <c r="C46" s="347"/>
      <c r="D46" s="347"/>
    </row>
    <row r="48" spans="1:2" ht="12.75">
      <c r="A48" s="1" t="s">
        <v>478</v>
      </c>
      <c r="B48" s="16">
        <v>4800</v>
      </c>
    </row>
    <row r="49" spans="1:2" ht="12.75">
      <c r="A49" s="1" t="s">
        <v>479</v>
      </c>
      <c r="B49" s="246">
        <v>21400</v>
      </c>
    </row>
    <row r="50" ht="12.75">
      <c r="B50" s="279">
        <f>SUM(B48:B49)</f>
        <v>26200</v>
      </c>
    </row>
    <row r="52" spans="1:2" ht="12.75">
      <c r="A52" s="16" t="s">
        <v>480</v>
      </c>
      <c r="B52" s="279">
        <v>24086.53</v>
      </c>
    </row>
    <row r="55" spans="1:3" ht="12.75">
      <c r="A55" s="1" t="s">
        <v>409</v>
      </c>
      <c r="B55" s="16">
        <f>B50-B52</f>
        <v>2113.470000000001</v>
      </c>
      <c r="C55" s="1" t="s">
        <v>83</v>
      </c>
    </row>
    <row r="57" spans="1:2" ht="12.75">
      <c r="A57" t="s">
        <v>481</v>
      </c>
      <c r="B57">
        <v>0.26</v>
      </c>
    </row>
    <row r="58" spans="1:3" ht="12.75">
      <c r="A58" s="28" t="s">
        <v>483</v>
      </c>
      <c r="B58" s="315">
        <f>B50/6144/12</f>
        <v>0.3553602430555556</v>
      </c>
      <c r="C58" s="28" t="s">
        <v>83</v>
      </c>
    </row>
    <row r="59" spans="1:2" ht="12.75">
      <c r="A59" t="s">
        <v>482</v>
      </c>
      <c r="B59" s="175">
        <v>0.44</v>
      </c>
    </row>
    <row r="61" ht="12.75">
      <c r="A61" s="150" t="s">
        <v>412</v>
      </c>
    </row>
    <row r="63" ht="12.75">
      <c r="B63" s="175"/>
    </row>
  </sheetData>
  <sheetProtection/>
  <mergeCells count="3">
    <mergeCell ref="A36:D36"/>
    <mergeCell ref="A25:D25"/>
    <mergeCell ref="A46:D4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94"/>
  <sheetViews>
    <sheetView zoomScalePageLayoutView="0" workbookViewId="0" topLeftCell="A1">
      <selection activeCell="N11" sqref="N11:V11"/>
    </sheetView>
  </sheetViews>
  <sheetFormatPr defaultColWidth="9.00390625" defaultRowHeight="12.75"/>
  <cols>
    <col min="2" max="2" width="7.75390625" style="0" customWidth="1"/>
    <col min="3" max="3" width="2.625" style="0" customWidth="1"/>
    <col min="5" max="5" width="0.12890625" style="0" customWidth="1"/>
    <col min="6" max="6" width="8.875" style="0" customWidth="1"/>
    <col min="7" max="7" width="7.125" style="0" customWidth="1"/>
    <col min="8" max="8" width="6.875" style="0" customWidth="1"/>
    <col min="9" max="9" width="7.125" style="0" customWidth="1"/>
    <col min="10" max="10" width="6.25390625" style="0" customWidth="1"/>
    <col min="11" max="11" width="7.875" style="0" customWidth="1"/>
    <col min="12" max="12" width="7.25390625" style="0" customWidth="1"/>
    <col min="13" max="13" width="6.875" style="0" customWidth="1"/>
  </cols>
  <sheetData>
    <row r="1" spans="1:24" ht="12.75">
      <c r="A1" s="422" t="s">
        <v>267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N1" s="422" t="s">
        <v>454</v>
      </c>
      <c r="O1" s="422"/>
      <c r="P1" s="422"/>
      <c r="Q1" s="422"/>
      <c r="R1" s="422"/>
      <c r="S1" s="422"/>
      <c r="T1" s="422"/>
      <c r="U1" s="422"/>
      <c r="V1" s="422"/>
      <c r="W1" s="333"/>
      <c r="X1" s="333"/>
    </row>
    <row r="3" spans="1:14" ht="12.75">
      <c r="A3" t="s">
        <v>263</v>
      </c>
      <c r="N3" t="s">
        <v>453</v>
      </c>
    </row>
    <row r="5" spans="1:14" ht="12.75">
      <c r="A5" t="s">
        <v>264</v>
      </c>
      <c r="N5" t="s">
        <v>452</v>
      </c>
    </row>
    <row r="6" spans="1:14" ht="12.75">
      <c r="A6" t="s">
        <v>265</v>
      </c>
      <c r="N6" t="s">
        <v>455</v>
      </c>
    </row>
    <row r="7" spans="1:14" ht="12.75">
      <c r="A7" t="s">
        <v>266</v>
      </c>
      <c r="N7" t="s">
        <v>266</v>
      </c>
    </row>
    <row r="9" spans="1:11" ht="25.5" customHeight="1">
      <c r="A9" s="420" t="s">
        <v>305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</row>
    <row r="10" ht="13.5" thickBot="1"/>
    <row r="11" spans="1:22" ht="12.75">
      <c r="A11" s="432" t="s">
        <v>290</v>
      </c>
      <c r="B11" s="405"/>
      <c r="C11" s="433"/>
      <c r="D11" s="405" t="s">
        <v>291</v>
      </c>
      <c r="E11" s="405"/>
      <c r="F11" s="405" t="s">
        <v>291</v>
      </c>
      <c r="G11" s="405"/>
      <c r="H11" s="405" t="s">
        <v>292</v>
      </c>
      <c r="I11" s="405"/>
      <c r="J11" s="405" t="s">
        <v>293</v>
      </c>
      <c r="K11" s="406"/>
      <c r="N11" s="422" t="s">
        <v>454</v>
      </c>
      <c r="O11" s="422"/>
      <c r="P11" s="422"/>
      <c r="Q11" s="422"/>
      <c r="R11" s="422"/>
      <c r="S11" s="422"/>
      <c r="T11" s="422"/>
      <c r="U11" s="422"/>
      <c r="V11" s="422"/>
    </row>
    <row r="12" spans="1:11" ht="12.75">
      <c r="A12" s="434"/>
      <c r="B12" s="348"/>
      <c r="C12" s="414"/>
      <c r="D12" s="348"/>
      <c r="E12" s="348"/>
      <c r="F12" s="348"/>
      <c r="G12" s="348"/>
      <c r="H12" s="348"/>
      <c r="I12" s="348"/>
      <c r="J12" s="348"/>
      <c r="K12" s="425"/>
    </row>
    <row r="13" spans="1:14" ht="25.5" customHeight="1">
      <c r="A13" s="428" t="s">
        <v>294</v>
      </c>
      <c r="B13" s="429"/>
      <c r="C13" s="429"/>
      <c r="D13" s="413" t="s">
        <v>297</v>
      </c>
      <c r="E13" s="413"/>
      <c r="F13" s="413" t="s">
        <v>297</v>
      </c>
      <c r="G13" s="413"/>
      <c r="H13" s="244" t="s">
        <v>298</v>
      </c>
      <c r="I13" s="244" t="s">
        <v>299</v>
      </c>
      <c r="J13" s="413" t="s">
        <v>302</v>
      </c>
      <c r="K13" s="426"/>
      <c r="N13" t="s">
        <v>453</v>
      </c>
    </row>
    <row r="14" spans="1:11" ht="24.75" customHeight="1">
      <c r="A14" s="428" t="s">
        <v>335</v>
      </c>
      <c r="B14" s="429"/>
      <c r="C14" s="429"/>
      <c r="D14" s="413" t="s">
        <v>297</v>
      </c>
      <c r="E14" s="413"/>
      <c r="F14" s="413" t="s">
        <v>297</v>
      </c>
      <c r="G14" s="413"/>
      <c r="H14" s="244" t="s">
        <v>301</v>
      </c>
      <c r="I14" s="244" t="s">
        <v>300</v>
      </c>
      <c r="J14" s="413" t="s">
        <v>302</v>
      </c>
      <c r="K14" s="426"/>
    </row>
    <row r="15" spans="1:14" ht="12.75">
      <c r="A15" s="428" t="s">
        <v>295</v>
      </c>
      <c r="B15" s="429"/>
      <c r="C15" s="429"/>
      <c r="D15" s="416" t="s">
        <v>303</v>
      </c>
      <c r="E15" s="416"/>
      <c r="F15" s="416" t="s">
        <v>303</v>
      </c>
      <c r="G15" s="416"/>
      <c r="H15" s="16" t="s">
        <v>303</v>
      </c>
      <c r="I15" s="16" t="s">
        <v>304</v>
      </c>
      <c r="J15" s="416" t="s">
        <v>303</v>
      </c>
      <c r="K15" s="427"/>
      <c r="N15" t="s">
        <v>452</v>
      </c>
    </row>
    <row r="16" spans="1:14" ht="13.5" thickBot="1">
      <c r="A16" s="430" t="s">
        <v>296</v>
      </c>
      <c r="B16" s="431"/>
      <c r="C16" s="431"/>
      <c r="D16" s="423">
        <v>266</v>
      </c>
      <c r="E16" s="423"/>
      <c r="F16" s="423">
        <v>266</v>
      </c>
      <c r="G16" s="423"/>
      <c r="H16" s="19">
        <v>190</v>
      </c>
      <c r="I16" s="19">
        <v>50</v>
      </c>
      <c r="J16" s="423">
        <v>95</v>
      </c>
      <c r="K16" s="424"/>
      <c r="N16" t="s">
        <v>455</v>
      </c>
    </row>
    <row r="17" ht="12.75">
      <c r="N17" t="s">
        <v>266</v>
      </c>
    </row>
    <row r="20" spans="1:11" ht="12.75">
      <c r="A20" s="421" t="s">
        <v>289</v>
      </c>
      <c r="B20" s="421"/>
      <c r="C20" s="421"/>
      <c r="D20" s="421"/>
      <c r="E20" s="421"/>
      <c r="F20" s="421"/>
      <c r="G20" s="421"/>
      <c r="H20" s="421"/>
      <c r="I20" s="421"/>
      <c r="J20" s="421"/>
      <c r="K20" s="421"/>
    </row>
    <row r="21" ht="12.75">
      <c r="A21" s="147" t="s">
        <v>307</v>
      </c>
    </row>
    <row r="23" spans="1:14" ht="12.75">
      <c r="A23" s="421" t="s">
        <v>286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N23" t="s">
        <v>469</v>
      </c>
    </row>
    <row r="24" spans="1:11" ht="12.75">
      <c r="A24" s="347" t="s">
        <v>281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</row>
    <row r="25" spans="1:11" ht="12.75">
      <c r="A25" s="347" t="s">
        <v>282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</row>
    <row r="26" spans="1:11" ht="12.75">
      <c r="A26" s="347" t="s">
        <v>283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</row>
    <row r="27" spans="1:11" ht="12.75">
      <c r="A27" s="347" t="s">
        <v>284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7"/>
    </row>
    <row r="28" spans="1:11" ht="12.75">
      <c r="A28" s="347" t="s">
        <v>285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7"/>
    </row>
    <row r="29" spans="1:2" ht="12.75">
      <c r="A29" s="28" t="s">
        <v>287</v>
      </c>
      <c r="B29" s="28"/>
    </row>
    <row r="31" spans="1:11" ht="25.5" customHeight="1">
      <c r="A31" s="420" t="s">
        <v>288</v>
      </c>
      <c r="B31" s="418"/>
      <c r="C31" s="418"/>
      <c r="D31" s="418"/>
      <c r="E31" s="418"/>
      <c r="F31" s="418"/>
      <c r="G31" s="418"/>
      <c r="H31" s="418"/>
      <c r="I31" s="418"/>
      <c r="J31" s="418"/>
      <c r="K31" s="418"/>
    </row>
    <row r="33" ht="12.75">
      <c r="A33" t="s">
        <v>308</v>
      </c>
    </row>
    <row r="35" ht="12.75">
      <c r="A35" t="s">
        <v>306</v>
      </c>
    </row>
    <row r="38" spans="1:11" ht="12.75">
      <c r="A38" s="422" t="s">
        <v>332</v>
      </c>
      <c r="B38" s="422"/>
      <c r="C38" s="422"/>
      <c r="D38" s="422"/>
      <c r="E38" s="422"/>
      <c r="F38" s="422"/>
      <c r="G38" s="422"/>
      <c r="H38" s="422"/>
      <c r="I38" s="422"/>
      <c r="J38" s="422"/>
      <c r="K38" s="422"/>
    </row>
    <row r="40" ht="12.75">
      <c r="A40" t="s">
        <v>326</v>
      </c>
    </row>
    <row r="41" ht="12.75">
      <c r="A41" t="s">
        <v>329</v>
      </c>
    </row>
    <row r="43" ht="12.75">
      <c r="A43" t="s">
        <v>327</v>
      </c>
    </row>
    <row r="44" ht="12.75">
      <c r="A44" t="s">
        <v>265</v>
      </c>
    </row>
    <row r="45" ht="12.75">
      <c r="A45" t="s">
        <v>330</v>
      </c>
    </row>
    <row r="46" ht="12.75">
      <c r="A46" t="s">
        <v>328</v>
      </c>
    </row>
    <row r="47" ht="12.75">
      <c r="A47" t="s">
        <v>331</v>
      </c>
    </row>
    <row r="48" ht="12.75">
      <c r="A48" t="s">
        <v>266</v>
      </c>
    </row>
    <row r="50" spans="1:13" ht="25.5" customHeight="1">
      <c r="A50" s="420" t="s">
        <v>389</v>
      </c>
      <c r="B50" s="420"/>
      <c r="C50" s="420"/>
      <c r="D50" s="420"/>
      <c r="E50" s="420"/>
      <c r="F50" s="420"/>
      <c r="G50" s="420"/>
      <c r="H50" s="420"/>
      <c r="I50" s="420"/>
      <c r="J50" s="420"/>
      <c r="K50" s="420"/>
      <c r="L50" s="379"/>
      <c r="M50" s="379"/>
    </row>
    <row r="51" ht="13.5" thickBot="1"/>
    <row r="52" spans="1:13" ht="12.75">
      <c r="A52" s="432" t="s">
        <v>290</v>
      </c>
      <c r="B52" s="405"/>
      <c r="C52" s="433"/>
      <c r="D52" s="405" t="s">
        <v>367</v>
      </c>
      <c r="E52" s="405"/>
      <c r="F52" s="405" t="s">
        <v>366</v>
      </c>
      <c r="G52" s="405"/>
      <c r="H52" s="405" t="s">
        <v>292</v>
      </c>
      <c r="I52" s="405"/>
      <c r="J52" s="405" t="s">
        <v>364</v>
      </c>
      <c r="K52" s="406"/>
      <c r="L52" s="405" t="s">
        <v>374</v>
      </c>
      <c r="M52" s="406"/>
    </row>
    <row r="53" spans="1:13" ht="12.75">
      <c r="A53" s="434"/>
      <c r="B53" s="348"/>
      <c r="C53" s="414"/>
      <c r="D53" s="348"/>
      <c r="E53" s="348"/>
      <c r="F53" s="348"/>
      <c r="G53" s="348"/>
      <c r="H53" s="348"/>
      <c r="I53" s="348"/>
      <c r="J53" s="348"/>
      <c r="K53" s="425"/>
      <c r="L53" s="348"/>
      <c r="M53" s="425"/>
    </row>
    <row r="54" spans="1:13" ht="25.5" customHeight="1">
      <c r="A54" s="428" t="s">
        <v>294</v>
      </c>
      <c r="B54" s="429"/>
      <c r="C54" s="429"/>
      <c r="D54" s="413" t="s">
        <v>297</v>
      </c>
      <c r="E54" s="413"/>
      <c r="F54" s="413" t="s">
        <v>297</v>
      </c>
      <c r="G54" s="413"/>
      <c r="H54" s="244" t="s">
        <v>298</v>
      </c>
      <c r="I54" s="244" t="s">
        <v>299</v>
      </c>
      <c r="J54" s="413" t="s">
        <v>302</v>
      </c>
      <c r="K54" s="426"/>
      <c r="L54" s="413" t="s">
        <v>302</v>
      </c>
      <c r="M54" s="426"/>
    </row>
    <row r="55" spans="1:13" ht="25.5" customHeight="1">
      <c r="A55" s="428" t="s">
        <v>335</v>
      </c>
      <c r="B55" s="429"/>
      <c r="C55" s="429"/>
      <c r="D55" s="413" t="s">
        <v>297</v>
      </c>
      <c r="E55" s="413"/>
      <c r="F55" s="413" t="s">
        <v>297</v>
      </c>
      <c r="G55" s="413"/>
      <c r="H55" s="244" t="s">
        <v>301</v>
      </c>
      <c r="I55" s="244" t="s">
        <v>300</v>
      </c>
      <c r="J55" s="413" t="s">
        <v>302</v>
      </c>
      <c r="K55" s="426"/>
      <c r="L55" s="413" t="s">
        <v>302</v>
      </c>
      <c r="M55" s="426"/>
    </row>
    <row r="56" spans="1:13" ht="12.75">
      <c r="A56" s="428" t="s">
        <v>295</v>
      </c>
      <c r="B56" s="429"/>
      <c r="C56" s="429"/>
      <c r="D56" s="416" t="s">
        <v>303</v>
      </c>
      <c r="E56" s="416"/>
      <c r="F56" s="416" t="s">
        <v>303</v>
      </c>
      <c r="G56" s="416"/>
      <c r="H56" s="16" t="s">
        <v>303</v>
      </c>
      <c r="I56" s="16" t="s">
        <v>304</v>
      </c>
      <c r="J56" s="416" t="s">
        <v>303</v>
      </c>
      <c r="K56" s="427"/>
      <c r="L56" s="416" t="s">
        <v>303</v>
      </c>
      <c r="M56" s="427"/>
    </row>
    <row r="57" spans="1:13" ht="13.5" thickBot="1">
      <c r="A57" s="430" t="s">
        <v>296</v>
      </c>
      <c r="B57" s="431"/>
      <c r="C57" s="431"/>
      <c r="D57" s="423">
        <v>19</v>
      </c>
      <c r="E57" s="423"/>
      <c r="F57" s="423">
        <v>247</v>
      </c>
      <c r="G57" s="423"/>
      <c r="H57" s="19">
        <v>190</v>
      </c>
      <c r="I57" s="19">
        <v>50</v>
      </c>
      <c r="J57" s="423">
        <v>152</v>
      </c>
      <c r="K57" s="424"/>
      <c r="L57" s="423">
        <v>190</v>
      </c>
      <c r="M57" s="424"/>
    </row>
    <row r="61" spans="1:13" ht="12.75">
      <c r="A61" s="421" t="s">
        <v>370</v>
      </c>
      <c r="B61" s="421"/>
      <c r="C61" s="421"/>
      <c r="D61" s="421"/>
      <c r="E61" s="421"/>
      <c r="F61" s="421"/>
      <c r="G61" s="421"/>
      <c r="H61" s="421"/>
      <c r="I61" s="421"/>
      <c r="J61" s="421"/>
      <c r="K61" s="421"/>
      <c r="L61" s="347"/>
      <c r="M61" s="347"/>
    </row>
    <row r="62" ht="12.75">
      <c r="A62" s="147" t="s">
        <v>307</v>
      </c>
    </row>
    <row r="63" ht="12.75">
      <c r="A63" s="147"/>
    </row>
    <row r="64" spans="1:13" ht="12.75" customHeight="1">
      <c r="A64" s="421" t="s">
        <v>371</v>
      </c>
      <c r="B64" s="353"/>
      <c r="C64" s="353"/>
      <c r="D64" s="353"/>
      <c r="E64" s="353"/>
      <c r="F64" s="353"/>
      <c r="G64" s="353"/>
      <c r="H64" s="353"/>
      <c r="I64" s="353"/>
      <c r="J64" s="353"/>
      <c r="K64" s="353"/>
      <c r="L64" s="347"/>
      <c r="M64" s="347"/>
    </row>
    <row r="65" spans="1:11" ht="12.75">
      <c r="A65" s="347" t="s">
        <v>372</v>
      </c>
      <c r="B65" s="347"/>
      <c r="C65" s="347"/>
      <c r="D65" s="347"/>
      <c r="E65" s="347"/>
      <c r="F65" s="347"/>
      <c r="G65" s="347"/>
      <c r="H65" s="347"/>
      <c r="I65" s="347"/>
      <c r="J65" s="347"/>
      <c r="K65" s="347"/>
    </row>
    <row r="66" spans="1:2" ht="12.75">
      <c r="A66" s="28" t="s">
        <v>385</v>
      </c>
      <c r="B66" s="28"/>
    </row>
    <row r="68" spans="1:13" ht="26.25" customHeight="1">
      <c r="A68" s="420" t="s">
        <v>375</v>
      </c>
      <c r="B68" s="418"/>
      <c r="C68" s="418"/>
      <c r="D68" s="418"/>
      <c r="E68" s="418"/>
      <c r="F68" s="418"/>
      <c r="G68" s="418"/>
      <c r="H68" s="418"/>
      <c r="I68" s="418"/>
      <c r="J68" s="418"/>
      <c r="K68" s="418"/>
      <c r="L68" s="379"/>
      <c r="M68" s="347"/>
    </row>
    <row r="69" ht="12.75">
      <c r="A69" t="s">
        <v>386</v>
      </c>
    </row>
    <row r="71" spans="1:13" ht="12.75" customHeight="1">
      <c r="A71" s="421" t="s">
        <v>368</v>
      </c>
      <c r="B71" s="353"/>
      <c r="C71" s="353"/>
      <c r="D71" s="353"/>
      <c r="E71" s="353"/>
      <c r="F71" s="353"/>
      <c r="G71" s="353"/>
      <c r="H71" s="353"/>
      <c r="I71" s="353"/>
      <c r="J71" s="353"/>
      <c r="K71" s="353"/>
      <c r="L71" s="347"/>
      <c r="M71" s="347"/>
    </row>
    <row r="72" spans="1:11" ht="12.75">
      <c r="A72" s="347" t="s">
        <v>369</v>
      </c>
      <c r="B72" s="347"/>
      <c r="C72" s="347"/>
      <c r="D72" s="347"/>
      <c r="E72" s="347"/>
      <c r="F72" s="347"/>
      <c r="G72" s="347"/>
      <c r="H72" s="347"/>
      <c r="I72" s="347"/>
      <c r="J72" s="347"/>
      <c r="K72" s="347"/>
    </row>
    <row r="73" spans="1:11" ht="12.75">
      <c r="A73" s="347" t="s">
        <v>282</v>
      </c>
      <c r="B73" s="347"/>
      <c r="C73" s="347"/>
      <c r="D73" s="347"/>
      <c r="E73" s="347"/>
      <c r="F73" s="347"/>
      <c r="G73" s="347"/>
      <c r="H73" s="347"/>
      <c r="I73" s="347"/>
      <c r="J73" s="347"/>
      <c r="K73" s="347"/>
    </row>
    <row r="74" spans="1:11" ht="12.75">
      <c r="A74" s="347" t="s">
        <v>283</v>
      </c>
      <c r="B74" s="347"/>
      <c r="C74" s="347"/>
      <c r="D74" s="347"/>
      <c r="E74" s="347"/>
      <c r="F74" s="347"/>
      <c r="G74" s="347"/>
      <c r="H74" s="347"/>
      <c r="I74" s="347"/>
      <c r="J74" s="347"/>
      <c r="K74" s="347"/>
    </row>
    <row r="75" spans="1:11" ht="12.75">
      <c r="A75" s="347" t="s">
        <v>284</v>
      </c>
      <c r="B75" s="347"/>
      <c r="C75" s="347"/>
      <c r="D75" s="347"/>
      <c r="E75" s="347"/>
      <c r="F75" s="347"/>
      <c r="G75" s="347"/>
      <c r="H75" s="347"/>
      <c r="I75" s="347"/>
      <c r="J75" s="347"/>
      <c r="K75" s="347"/>
    </row>
    <row r="76" spans="1:11" ht="12.75">
      <c r="A76" s="347" t="s">
        <v>365</v>
      </c>
      <c r="B76" s="347"/>
      <c r="C76" s="347"/>
      <c r="D76" s="347"/>
      <c r="E76" s="347"/>
      <c r="F76" s="347"/>
      <c r="G76" s="347"/>
      <c r="H76" s="347"/>
      <c r="I76" s="347"/>
      <c r="J76" s="347"/>
      <c r="K76" s="347"/>
    </row>
    <row r="77" spans="1:2" ht="12.75">
      <c r="A77" s="28" t="s">
        <v>373</v>
      </c>
      <c r="B77" s="28"/>
    </row>
    <row r="79" spans="1:13" ht="26.25" customHeight="1">
      <c r="A79" s="420" t="s">
        <v>382</v>
      </c>
      <c r="B79" s="418"/>
      <c r="C79" s="418"/>
      <c r="D79" s="418"/>
      <c r="E79" s="418"/>
      <c r="F79" s="418"/>
      <c r="G79" s="418"/>
      <c r="H79" s="418"/>
      <c r="I79" s="418"/>
      <c r="J79" s="418"/>
      <c r="K79" s="418"/>
      <c r="L79" s="379"/>
      <c r="M79" s="347"/>
    </row>
    <row r="80" ht="12.75">
      <c r="A80" t="s">
        <v>383</v>
      </c>
    </row>
    <row r="81" ht="12.75">
      <c r="A81" t="s">
        <v>384</v>
      </c>
    </row>
    <row r="82" spans="1:13" ht="12.75">
      <c r="A82" s="421" t="s">
        <v>378</v>
      </c>
      <c r="B82" s="421"/>
      <c r="C82" s="421"/>
      <c r="D82" s="421"/>
      <c r="E82" s="421"/>
      <c r="F82" s="421"/>
      <c r="G82" s="421"/>
      <c r="H82" s="421"/>
      <c r="I82" s="421"/>
      <c r="J82" s="421"/>
      <c r="K82" s="421"/>
      <c r="L82" s="347"/>
      <c r="M82" s="347"/>
    </row>
    <row r="83" ht="12.75">
      <c r="A83" s="147" t="s">
        <v>379</v>
      </c>
    </row>
    <row r="84" ht="12.75">
      <c r="A84" s="147"/>
    </row>
    <row r="85" spans="1:13" ht="12.75" customHeight="1">
      <c r="A85" s="421" t="s">
        <v>376</v>
      </c>
      <c r="B85" s="353"/>
      <c r="C85" s="353"/>
      <c r="D85" s="353"/>
      <c r="E85" s="353"/>
      <c r="F85" s="353"/>
      <c r="G85" s="353"/>
      <c r="H85" s="353"/>
      <c r="I85" s="353"/>
      <c r="J85" s="353"/>
      <c r="K85" s="353"/>
      <c r="L85" s="347"/>
      <c r="M85" s="347"/>
    </row>
    <row r="86" spans="1:11" ht="12.75">
      <c r="A86" s="347" t="s">
        <v>387</v>
      </c>
      <c r="B86" s="347"/>
      <c r="C86" s="347"/>
      <c r="D86" s="347"/>
      <c r="E86" s="347"/>
      <c r="F86" s="347"/>
      <c r="G86" s="347"/>
      <c r="H86" s="347"/>
      <c r="I86" s="347"/>
      <c r="J86" s="347"/>
      <c r="K86" s="347"/>
    </row>
    <row r="87" spans="1:2" ht="12.75">
      <c r="A87" s="28" t="s">
        <v>380</v>
      </c>
      <c r="B87" s="28"/>
    </row>
    <row r="89" spans="1:13" ht="26.25" customHeight="1">
      <c r="A89" s="420" t="s">
        <v>377</v>
      </c>
      <c r="B89" s="418"/>
      <c r="C89" s="418"/>
      <c r="D89" s="418"/>
      <c r="E89" s="418"/>
      <c r="F89" s="418"/>
      <c r="G89" s="418"/>
      <c r="H89" s="418"/>
      <c r="I89" s="418"/>
      <c r="J89" s="418"/>
      <c r="K89" s="418"/>
      <c r="L89" s="379"/>
      <c r="M89" s="347"/>
    </row>
    <row r="90" ht="12.75">
      <c r="A90" t="s">
        <v>381</v>
      </c>
    </row>
    <row r="92" spans="1:13" ht="38.25" customHeight="1">
      <c r="A92" s="379" t="s">
        <v>388</v>
      </c>
      <c r="B92" s="379"/>
      <c r="C92" s="379"/>
      <c r="D92" s="379"/>
      <c r="E92" s="379"/>
      <c r="F92" s="379"/>
      <c r="G92" s="379"/>
      <c r="H92" s="379"/>
      <c r="I92" s="379"/>
      <c r="J92" s="379"/>
      <c r="K92" s="379"/>
      <c r="L92" s="379"/>
      <c r="M92" s="379"/>
    </row>
    <row r="93" spans="1:13" ht="38.25" customHeight="1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</row>
    <row r="94" ht="12.75">
      <c r="A94" t="s">
        <v>306</v>
      </c>
    </row>
  </sheetData>
  <sheetProtection/>
  <mergeCells count="77">
    <mergeCell ref="N11:V11"/>
    <mergeCell ref="A31:K31"/>
    <mergeCell ref="A23:K23"/>
    <mergeCell ref="A27:K27"/>
    <mergeCell ref="A15:C15"/>
    <mergeCell ref="A16:C16"/>
    <mergeCell ref="J15:K15"/>
    <mergeCell ref="J16:K16"/>
    <mergeCell ref="A1:K1"/>
    <mergeCell ref="A24:K24"/>
    <mergeCell ref="A25:K25"/>
    <mergeCell ref="A26:K26"/>
    <mergeCell ref="A20:K20"/>
    <mergeCell ref="J11:K12"/>
    <mergeCell ref="F13:G13"/>
    <mergeCell ref="F14:G14"/>
    <mergeCell ref="F15:G15"/>
    <mergeCell ref="F16:G16"/>
    <mergeCell ref="A52:C53"/>
    <mergeCell ref="F52:G53"/>
    <mergeCell ref="H52:I53"/>
    <mergeCell ref="J52:K53"/>
    <mergeCell ref="A38:K38"/>
    <mergeCell ref="A9:K9"/>
    <mergeCell ref="A11:C12"/>
    <mergeCell ref="A13:C13"/>
    <mergeCell ref="A14:C14"/>
    <mergeCell ref="J13:K13"/>
    <mergeCell ref="A54:C54"/>
    <mergeCell ref="F54:G54"/>
    <mergeCell ref="J54:K54"/>
    <mergeCell ref="A55:C55"/>
    <mergeCell ref="F55:G55"/>
    <mergeCell ref="J55:K55"/>
    <mergeCell ref="L56:M56"/>
    <mergeCell ref="A73:K73"/>
    <mergeCell ref="A71:M71"/>
    <mergeCell ref="A56:C56"/>
    <mergeCell ref="F56:G56"/>
    <mergeCell ref="J56:K56"/>
    <mergeCell ref="A57:C57"/>
    <mergeCell ref="F57:G57"/>
    <mergeCell ref="J57:K57"/>
    <mergeCell ref="D56:E56"/>
    <mergeCell ref="D52:E53"/>
    <mergeCell ref="D54:E54"/>
    <mergeCell ref="D55:E55"/>
    <mergeCell ref="L52:M53"/>
    <mergeCell ref="L54:M54"/>
    <mergeCell ref="L55:M55"/>
    <mergeCell ref="A50:M50"/>
    <mergeCell ref="D11:E12"/>
    <mergeCell ref="D13:E13"/>
    <mergeCell ref="D14:E14"/>
    <mergeCell ref="D15:E15"/>
    <mergeCell ref="D16:E16"/>
    <mergeCell ref="J14:K14"/>
    <mergeCell ref="F11:G12"/>
    <mergeCell ref="H11:I12"/>
    <mergeCell ref="A28:K28"/>
    <mergeCell ref="A92:M92"/>
    <mergeCell ref="A74:K74"/>
    <mergeCell ref="A75:K75"/>
    <mergeCell ref="A76:K76"/>
    <mergeCell ref="A79:M79"/>
    <mergeCell ref="L57:M57"/>
    <mergeCell ref="D57:E57"/>
    <mergeCell ref="N1:V1"/>
    <mergeCell ref="A85:M85"/>
    <mergeCell ref="A86:K86"/>
    <mergeCell ref="A89:M89"/>
    <mergeCell ref="A82:M82"/>
    <mergeCell ref="A61:M61"/>
    <mergeCell ref="A68:M68"/>
    <mergeCell ref="A64:M64"/>
    <mergeCell ref="A65:K65"/>
    <mergeCell ref="A72:K7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12">
      <selection activeCell="A21" sqref="A21"/>
    </sheetView>
  </sheetViews>
  <sheetFormatPr defaultColWidth="9.00390625" defaultRowHeight="12.75"/>
  <cols>
    <col min="1" max="1" width="11.75390625" style="0" customWidth="1"/>
    <col min="2" max="2" width="39.75390625" style="0" customWidth="1"/>
    <col min="3" max="3" width="13.625" style="0" customWidth="1"/>
    <col min="4" max="4" width="11.875" style="0" customWidth="1"/>
    <col min="5" max="5" width="8.00390625" style="0" customWidth="1"/>
    <col min="6" max="6" width="11.875" style="0" customWidth="1"/>
  </cols>
  <sheetData>
    <row r="1" spans="1:6" ht="12.75">
      <c r="A1" s="272"/>
      <c r="B1" s="272"/>
      <c r="C1" s="272"/>
      <c r="D1" s="272"/>
      <c r="E1" s="272"/>
      <c r="F1" s="272" t="s">
        <v>40</v>
      </c>
    </row>
    <row r="2" spans="1:6" ht="12.75">
      <c r="A2" s="272"/>
      <c r="B2" s="272"/>
      <c r="C2" s="272"/>
      <c r="D2" s="272"/>
      <c r="E2" s="272"/>
      <c r="F2" s="272" t="s">
        <v>26</v>
      </c>
    </row>
    <row r="3" spans="1:6" ht="18" customHeight="1">
      <c r="A3" s="272"/>
      <c r="B3" s="272"/>
      <c r="C3" s="272"/>
      <c r="D3" s="272"/>
      <c r="E3" s="272"/>
      <c r="F3" s="272" t="s">
        <v>41</v>
      </c>
    </row>
    <row r="4" spans="1:6" ht="15" customHeight="1">
      <c r="A4" s="272"/>
      <c r="B4" s="272"/>
      <c r="C4" s="272"/>
      <c r="D4" s="272"/>
      <c r="E4" s="272"/>
      <c r="F4" s="272" t="s">
        <v>486</v>
      </c>
    </row>
    <row r="6" spans="1:9" ht="12.75">
      <c r="A6" s="420" t="s">
        <v>313</v>
      </c>
      <c r="B6" s="420"/>
      <c r="C6" s="420"/>
      <c r="D6" s="420"/>
      <c r="E6" s="420"/>
      <c r="F6" s="420"/>
      <c r="G6" s="204"/>
      <c r="H6" s="204"/>
      <c r="I6" s="204"/>
    </row>
    <row r="7" spans="1:9" ht="12.75">
      <c r="A7" s="420" t="s">
        <v>314</v>
      </c>
      <c r="B7" s="420"/>
      <c r="C7" s="420"/>
      <c r="D7" s="420"/>
      <c r="E7" s="420"/>
      <c r="F7" s="420"/>
      <c r="G7" s="204"/>
      <c r="H7" s="204"/>
      <c r="I7" s="204"/>
    </row>
    <row r="9" ht="12.75">
      <c r="C9" s="87"/>
    </row>
    <row r="10" spans="1:6" ht="26.25" customHeight="1">
      <c r="A10" s="418" t="s">
        <v>325</v>
      </c>
      <c r="B10" s="418"/>
      <c r="C10" s="418"/>
      <c r="D10" s="418"/>
      <c r="E10" s="418"/>
      <c r="F10" s="418"/>
    </row>
    <row r="11" ht="12.75">
      <c r="C11" s="87"/>
    </row>
    <row r="13" spans="1:7" ht="38.25">
      <c r="A13" s="244" t="s">
        <v>315</v>
      </c>
      <c r="B13" s="244" t="s">
        <v>1</v>
      </c>
      <c r="C13" s="245" t="s">
        <v>334</v>
      </c>
      <c r="D13" s="245" t="s">
        <v>316</v>
      </c>
      <c r="E13" s="245" t="s">
        <v>209</v>
      </c>
      <c r="F13" s="244" t="s">
        <v>317</v>
      </c>
      <c r="G13" s="243"/>
    </row>
    <row r="14" spans="1:6" ht="38.25">
      <c r="A14" s="244" t="s">
        <v>318</v>
      </c>
      <c r="B14" s="271" t="s">
        <v>319</v>
      </c>
      <c r="C14" s="244">
        <v>117</v>
      </c>
      <c r="D14" s="244">
        <v>92.28</v>
      </c>
      <c r="E14" s="244">
        <v>6</v>
      </c>
      <c r="F14" s="273">
        <f>D14/C14/2</f>
        <v>0.3943589743589744</v>
      </c>
    </row>
    <row r="15" spans="1:6" ht="25.5">
      <c r="A15" s="244" t="s">
        <v>321</v>
      </c>
      <c r="B15" s="274" t="s">
        <v>322</v>
      </c>
      <c r="C15" s="244">
        <v>233</v>
      </c>
      <c r="D15" s="244">
        <v>92.28</v>
      </c>
      <c r="E15" s="244">
        <v>12</v>
      </c>
      <c r="F15" s="273">
        <f>D15/C15</f>
        <v>0.3960515021459228</v>
      </c>
    </row>
    <row r="16" spans="1:6" ht="12.75">
      <c r="A16" s="413" t="s">
        <v>323</v>
      </c>
      <c r="B16" s="413"/>
      <c r="C16" s="413"/>
      <c r="D16" s="413"/>
      <c r="E16" s="413"/>
      <c r="F16" s="246">
        <f>SUM(F14:F15)</f>
        <v>0.7904104765048972</v>
      </c>
    </row>
    <row r="18" spans="1:4" ht="12.75">
      <c r="A18" s="413" t="s">
        <v>117</v>
      </c>
      <c r="B18" s="413"/>
      <c r="C18" s="245" t="s">
        <v>316</v>
      </c>
      <c r="D18" s="244" t="s">
        <v>317</v>
      </c>
    </row>
    <row r="19" spans="1:4" ht="12.75">
      <c r="A19" s="414" t="s">
        <v>126</v>
      </c>
      <c r="B19" s="414"/>
      <c r="C19" s="16">
        <v>12</v>
      </c>
      <c r="D19" s="246">
        <f>F16/C21*C19</f>
        <v>0.10278419720479806</v>
      </c>
    </row>
    <row r="20" spans="1:4" ht="12.75">
      <c r="A20" s="414" t="s">
        <v>494</v>
      </c>
      <c r="B20" s="414"/>
      <c r="C20" s="16">
        <v>80.28</v>
      </c>
      <c r="D20" s="246">
        <f>F16/C21*C20</f>
        <v>0.6876262793000991</v>
      </c>
    </row>
    <row r="21" spans="3:4" ht="12.75">
      <c r="C21" s="16">
        <f>SUM(C19:C20)</f>
        <v>92.28</v>
      </c>
      <c r="D21" s="246">
        <f>SUM(D19:D20)</f>
        <v>0.7904104765048972</v>
      </c>
    </row>
    <row r="22" spans="3:4" ht="12.75">
      <c r="C22" s="87"/>
      <c r="D22" s="114"/>
    </row>
    <row r="23" spans="1:6" ht="12.75">
      <c r="A23" s="16" t="s">
        <v>226</v>
      </c>
      <c r="B23" s="16" t="s">
        <v>227</v>
      </c>
      <c r="C23" s="16" t="s">
        <v>228</v>
      </c>
      <c r="D23" s="16" t="s">
        <v>229</v>
      </c>
      <c r="E23" s="16" t="s">
        <v>230</v>
      </c>
      <c r="F23" s="16" t="s">
        <v>231</v>
      </c>
    </row>
    <row r="24" spans="1:6" ht="12.75">
      <c r="A24" s="246">
        <f>F16</f>
        <v>0.7904104765048972</v>
      </c>
      <c r="B24" s="16">
        <v>2760</v>
      </c>
      <c r="C24" s="16">
        <v>1.2</v>
      </c>
      <c r="D24" s="16">
        <v>1.6</v>
      </c>
      <c r="E24" s="246">
        <f>A24*B24*C24*D24</f>
        <v>4188.543197094751</v>
      </c>
      <c r="F24" s="246">
        <f>E24*1.12</f>
        <v>4691.168380746121</v>
      </c>
    </row>
    <row r="25" spans="3:4" ht="12.75">
      <c r="C25" s="87"/>
      <c r="D25" s="114"/>
    </row>
    <row r="26" spans="1:2" ht="12.75">
      <c r="A26" s="436" t="s">
        <v>324</v>
      </c>
      <c r="B26" s="347"/>
    </row>
    <row r="29" spans="1:6" ht="12.75">
      <c r="A29" s="272"/>
      <c r="B29" s="272"/>
      <c r="C29" s="272"/>
      <c r="D29" s="272"/>
      <c r="E29" s="272"/>
      <c r="F29" s="272" t="s">
        <v>40</v>
      </c>
    </row>
    <row r="30" spans="1:6" ht="12.75">
      <c r="A30" s="272"/>
      <c r="B30" s="272"/>
      <c r="C30" s="272"/>
      <c r="D30" s="272"/>
      <c r="E30" s="272"/>
      <c r="F30" s="272" t="s">
        <v>312</v>
      </c>
    </row>
    <row r="31" spans="1:6" ht="16.5" customHeight="1">
      <c r="A31" s="272"/>
      <c r="B31" s="272"/>
      <c r="C31" s="272"/>
      <c r="D31" s="272"/>
      <c r="E31" s="272"/>
      <c r="F31" s="272" t="s">
        <v>41</v>
      </c>
    </row>
    <row r="32" spans="1:6" ht="16.5" customHeight="1">
      <c r="A32" s="272"/>
      <c r="B32" s="272"/>
      <c r="C32" s="272"/>
      <c r="D32" s="272"/>
      <c r="E32" s="272"/>
      <c r="F32" s="272" t="s">
        <v>311</v>
      </c>
    </row>
    <row r="34" spans="1:6" ht="12.75">
      <c r="A34" s="420" t="s">
        <v>27</v>
      </c>
      <c r="B34" s="420"/>
      <c r="C34" s="420"/>
      <c r="D34" s="420"/>
      <c r="E34" s="420"/>
      <c r="F34" s="420"/>
    </row>
    <row r="35" spans="1:6" ht="12.75">
      <c r="A35" s="420" t="s">
        <v>314</v>
      </c>
      <c r="B35" s="420"/>
      <c r="C35" s="420"/>
      <c r="D35" s="420"/>
      <c r="E35" s="420"/>
      <c r="F35" s="420"/>
    </row>
    <row r="37" ht="12.75">
      <c r="C37" s="87"/>
    </row>
    <row r="38" spans="1:6" ht="24.75" customHeight="1">
      <c r="A38" s="418" t="s">
        <v>325</v>
      </c>
      <c r="B38" s="418"/>
      <c r="C38" s="418"/>
      <c r="D38" s="418"/>
      <c r="E38" s="418"/>
      <c r="F38" s="418"/>
    </row>
    <row r="39" ht="12.75">
      <c r="C39" s="87"/>
    </row>
    <row r="41" spans="1:6" ht="38.25">
      <c r="A41" s="244" t="s">
        <v>315</v>
      </c>
      <c r="B41" s="244" t="s">
        <v>1</v>
      </c>
      <c r="C41" s="245" t="s">
        <v>334</v>
      </c>
      <c r="D41" s="245" t="s">
        <v>316</v>
      </c>
      <c r="E41" s="245" t="s">
        <v>209</v>
      </c>
      <c r="F41" s="245" t="s">
        <v>317</v>
      </c>
    </row>
    <row r="42" spans="1:6" ht="38.25">
      <c r="A42" s="244" t="s">
        <v>318</v>
      </c>
      <c r="B42" s="271" t="s">
        <v>319</v>
      </c>
      <c r="C42" s="244">
        <v>117</v>
      </c>
      <c r="D42" s="244">
        <v>12</v>
      </c>
      <c r="E42" s="244">
        <v>6</v>
      </c>
      <c r="F42" s="273">
        <f>D42/C42/2</f>
        <v>0.05128205128205128</v>
      </c>
    </row>
    <row r="43" spans="1:6" ht="25.5">
      <c r="A43" s="244" t="s">
        <v>321</v>
      </c>
      <c r="B43" s="274" t="s">
        <v>322</v>
      </c>
      <c r="C43" s="244">
        <v>233</v>
      </c>
      <c r="D43" s="244">
        <v>12</v>
      </c>
      <c r="E43" s="244">
        <v>12</v>
      </c>
      <c r="F43" s="273">
        <f>D43/C43</f>
        <v>0.05150214592274678</v>
      </c>
    </row>
    <row r="44" spans="1:6" ht="12.75">
      <c r="A44" s="413" t="s">
        <v>323</v>
      </c>
      <c r="B44" s="413"/>
      <c r="C44" s="413"/>
      <c r="D44" s="413"/>
      <c r="E44" s="413"/>
      <c r="F44" s="246">
        <f>SUM(F42:F43)</f>
        <v>0.10278419720479806</v>
      </c>
    </row>
    <row r="45" spans="1:2" ht="12.75">
      <c r="A45" s="437"/>
      <c r="B45" s="438"/>
    </row>
    <row r="46" spans="1:6" ht="12.75">
      <c r="A46" s="16" t="s">
        <v>226</v>
      </c>
      <c r="B46" s="16" t="s">
        <v>227</v>
      </c>
      <c r="C46" s="16" t="s">
        <v>228</v>
      </c>
      <c r="D46" s="16" t="s">
        <v>229</v>
      </c>
      <c r="E46" s="16" t="s">
        <v>230</v>
      </c>
      <c r="F46" s="16" t="s">
        <v>231</v>
      </c>
    </row>
    <row r="47" spans="1:6" ht="12.75">
      <c r="A47" s="246">
        <f>F44</f>
        <v>0.10278419720479806</v>
      </c>
      <c r="B47" s="16">
        <v>2760</v>
      </c>
      <c r="C47" s="16">
        <v>1.2</v>
      </c>
      <c r="D47" s="16">
        <v>1.6</v>
      </c>
      <c r="E47" s="246">
        <f>A47*B47*C47*D47</f>
        <v>544.6740178276658</v>
      </c>
      <c r="F47" s="246">
        <f>E47*1.12</f>
        <v>610.0348999669858</v>
      </c>
    </row>
    <row r="48" spans="3:4" ht="12.75">
      <c r="C48" s="87"/>
      <c r="D48" s="114"/>
    </row>
    <row r="49" spans="3:4" ht="12.75">
      <c r="C49" s="87"/>
      <c r="D49" s="114"/>
    </row>
    <row r="50" spans="1:2" ht="12.75">
      <c r="A50" s="436" t="s">
        <v>324</v>
      </c>
      <c r="B50" s="347"/>
    </row>
    <row r="56" spans="1:6" ht="12.75">
      <c r="A56" s="272"/>
      <c r="B56" s="272"/>
      <c r="C56" s="272"/>
      <c r="D56" s="272"/>
      <c r="E56" s="272"/>
      <c r="F56" s="272" t="s">
        <v>40</v>
      </c>
    </row>
    <row r="57" spans="1:6" ht="12.75">
      <c r="A57" s="272"/>
      <c r="B57" s="272"/>
      <c r="C57" s="272"/>
      <c r="D57" s="272"/>
      <c r="E57" s="272"/>
      <c r="F57" s="272" t="s">
        <v>312</v>
      </c>
    </row>
    <row r="58" spans="1:6" ht="18" customHeight="1">
      <c r="A58" s="272"/>
      <c r="B58" s="272"/>
      <c r="C58" s="272"/>
      <c r="D58" s="272"/>
      <c r="E58" s="272"/>
      <c r="F58" s="272" t="s">
        <v>41</v>
      </c>
    </row>
    <row r="59" spans="1:6" ht="15" customHeight="1">
      <c r="A59" s="272"/>
      <c r="B59" s="272"/>
      <c r="C59" s="272"/>
      <c r="D59" s="272"/>
      <c r="E59" s="272"/>
      <c r="F59" s="272" t="s">
        <v>311</v>
      </c>
    </row>
    <row r="61" spans="1:9" ht="12.75">
      <c r="A61" s="420" t="s">
        <v>313</v>
      </c>
      <c r="B61" s="420"/>
      <c r="C61" s="420"/>
      <c r="D61" s="420"/>
      <c r="E61" s="420"/>
      <c r="F61" s="420"/>
      <c r="G61" s="204"/>
      <c r="H61" s="204"/>
      <c r="I61" s="204"/>
    </row>
    <row r="62" spans="1:9" ht="12.75">
      <c r="A62" s="420" t="s">
        <v>314</v>
      </c>
      <c r="B62" s="420"/>
      <c r="C62" s="420"/>
      <c r="D62" s="420"/>
      <c r="E62" s="420"/>
      <c r="F62" s="420"/>
      <c r="G62" s="204"/>
      <c r="H62" s="204"/>
      <c r="I62" s="204"/>
    </row>
    <row r="64" ht="12.75">
      <c r="C64" s="87"/>
    </row>
    <row r="65" spans="1:6" ht="26.25" customHeight="1">
      <c r="A65" s="418" t="s">
        <v>325</v>
      </c>
      <c r="B65" s="418"/>
      <c r="C65" s="418"/>
      <c r="D65" s="418"/>
      <c r="E65" s="418"/>
      <c r="F65" s="418"/>
    </row>
    <row r="66" ht="12.75">
      <c r="C66" s="87"/>
    </row>
    <row r="68" spans="1:7" ht="38.25">
      <c r="A68" s="244" t="s">
        <v>315</v>
      </c>
      <c r="B68" s="244" t="s">
        <v>1</v>
      </c>
      <c r="C68" s="245" t="s">
        <v>334</v>
      </c>
      <c r="D68" s="245" t="s">
        <v>316</v>
      </c>
      <c r="E68" s="245" t="s">
        <v>209</v>
      </c>
      <c r="F68" s="244" t="s">
        <v>317</v>
      </c>
      <c r="G68" s="243"/>
    </row>
    <row r="69" spans="1:6" ht="38.25">
      <c r="A69" s="244" t="s">
        <v>318</v>
      </c>
      <c r="B69" s="271" t="s">
        <v>319</v>
      </c>
      <c r="C69" s="244">
        <v>117</v>
      </c>
      <c r="D69" s="244">
        <f>C76</f>
        <v>122.65</v>
      </c>
      <c r="E69" s="244">
        <v>6</v>
      </c>
      <c r="F69" s="273">
        <f>D69/C69/2</f>
        <v>0.5241452991452992</v>
      </c>
    </row>
    <row r="70" spans="1:6" ht="25.5">
      <c r="A70" s="244" t="s">
        <v>321</v>
      </c>
      <c r="B70" s="274" t="s">
        <v>322</v>
      </c>
      <c r="C70" s="244">
        <v>233</v>
      </c>
      <c r="D70" s="244">
        <f>C76</f>
        <v>122.65</v>
      </c>
      <c r="E70" s="244">
        <v>12</v>
      </c>
      <c r="F70" s="273">
        <f>D70/C70</f>
        <v>0.5263948497854077</v>
      </c>
    </row>
    <row r="71" spans="1:6" ht="12.75">
      <c r="A71" s="413" t="s">
        <v>323</v>
      </c>
      <c r="B71" s="413"/>
      <c r="C71" s="413"/>
      <c r="D71" s="413"/>
      <c r="E71" s="413"/>
      <c r="F71" s="246">
        <f>SUM(F69:F70)</f>
        <v>1.050540148930707</v>
      </c>
    </row>
    <row r="73" spans="1:4" ht="12.75">
      <c r="A73" s="413" t="s">
        <v>117</v>
      </c>
      <c r="B73" s="413"/>
      <c r="C73" s="245" t="s">
        <v>316</v>
      </c>
      <c r="D73" s="244" t="s">
        <v>317</v>
      </c>
    </row>
    <row r="74" spans="1:4" ht="12.75">
      <c r="A74" s="414" t="s">
        <v>474</v>
      </c>
      <c r="B74" s="414"/>
      <c r="C74" s="16">
        <v>82.65</v>
      </c>
      <c r="D74" s="246">
        <f>F16/C21*C74</f>
        <v>0.7079261582480467</v>
      </c>
    </row>
    <row r="75" spans="1:4" ht="12.75">
      <c r="A75" s="414" t="s">
        <v>320</v>
      </c>
      <c r="B75" s="414"/>
      <c r="C75" s="16">
        <v>40</v>
      </c>
      <c r="D75" s="246">
        <f>F16/C21*C75</f>
        <v>0.34261399068266024</v>
      </c>
    </row>
    <row r="76" spans="3:4" ht="12.75">
      <c r="C76" s="16">
        <f>SUM(C74:C75)</f>
        <v>122.65</v>
      </c>
      <c r="D76" s="246">
        <f>SUM(D74:D75)</f>
        <v>1.050540148930707</v>
      </c>
    </row>
    <row r="77" spans="3:4" ht="12.75">
      <c r="C77" s="87"/>
      <c r="D77" s="114"/>
    </row>
    <row r="78" spans="1:6" ht="12.75">
      <c r="A78" s="16" t="s">
        <v>226</v>
      </c>
      <c r="B78" s="16" t="s">
        <v>227</v>
      </c>
      <c r="C78" s="16" t="s">
        <v>228</v>
      </c>
      <c r="D78" s="16" t="s">
        <v>229</v>
      </c>
      <c r="E78" s="16" t="s">
        <v>230</v>
      </c>
      <c r="F78" s="16" t="s">
        <v>231</v>
      </c>
    </row>
    <row r="79" spans="1:6" ht="12.75">
      <c r="A79" s="246">
        <f>F71</f>
        <v>1.050540148930707</v>
      </c>
      <c r="B79" s="16">
        <v>2760</v>
      </c>
      <c r="C79" s="16">
        <v>1.2</v>
      </c>
      <c r="D79" s="16">
        <v>1.6</v>
      </c>
      <c r="E79" s="246">
        <f>A79*B79*C79*D79</f>
        <v>5567.022357213602</v>
      </c>
      <c r="F79" s="246">
        <f>E79*1.12</f>
        <v>6235.065040079235</v>
      </c>
    </row>
    <row r="80" spans="3:4" ht="12.75">
      <c r="C80" s="87"/>
      <c r="D80" s="114"/>
    </row>
    <row r="81" spans="1:2" ht="12.75">
      <c r="A81" s="436" t="s">
        <v>324</v>
      </c>
      <c r="B81" s="347"/>
    </row>
    <row r="83" spans="1:5" ht="12.75">
      <c r="A83" s="435" t="s">
        <v>117</v>
      </c>
      <c r="B83" s="414"/>
      <c r="C83" s="141" t="s">
        <v>226</v>
      </c>
      <c r="D83" s="141" t="s">
        <v>208</v>
      </c>
      <c r="E83" s="141" t="s">
        <v>226</v>
      </c>
    </row>
    <row r="84" spans="1:5" ht="12.75">
      <c r="A84" s="435" t="s">
        <v>464</v>
      </c>
      <c r="B84" s="414"/>
      <c r="C84" s="410">
        <v>0.71</v>
      </c>
      <c r="D84" s="343">
        <v>776</v>
      </c>
      <c r="E84" s="343">
        <f>C84/D87*D84</f>
        <v>0.03855514766084122</v>
      </c>
    </row>
    <row r="85" spans="1:5" ht="12.75">
      <c r="A85" s="435" t="s">
        <v>475</v>
      </c>
      <c r="B85" s="414"/>
      <c r="C85" s="410"/>
      <c r="D85" s="343">
        <v>7673.08</v>
      </c>
      <c r="E85" s="343">
        <f>C84/D87*D85</f>
        <v>0.38123290259464887</v>
      </c>
    </row>
    <row r="86" spans="1:5" ht="12.75">
      <c r="A86" s="435" t="s">
        <v>476</v>
      </c>
      <c r="B86" s="414"/>
      <c r="C86" s="410"/>
      <c r="D86" s="343">
        <v>5841.1</v>
      </c>
      <c r="E86" s="343">
        <f>C84/D87*D86</f>
        <v>0.29021194974450987</v>
      </c>
    </row>
    <row r="87" spans="2:5" ht="12.75">
      <c r="B87" s="147"/>
      <c r="C87" s="147"/>
      <c r="D87" s="344">
        <f>SUM(D84:D86)</f>
        <v>14290.18</v>
      </c>
      <c r="E87" s="147"/>
    </row>
    <row r="89" spans="1:6" ht="12.75">
      <c r="A89" s="272"/>
      <c r="B89" s="272"/>
      <c r="C89" s="272"/>
      <c r="D89" s="272"/>
      <c r="E89" s="272"/>
      <c r="F89" s="272" t="s">
        <v>40</v>
      </c>
    </row>
    <row r="90" spans="1:6" ht="12.75">
      <c r="A90" s="272"/>
      <c r="B90" s="272"/>
      <c r="C90" s="272"/>
      <c r="D90" s="272"/>
      <c r="E90" s="272"/>
      <c r="F90" s="272" t="s">
        <v>312</v>
      </c>
    </row>
    <row r="91" spans="1:6" ht="12.75">
      <c r="A91" s="272"/>
      <c r="B91" s="272"/>
      <c r="C91" s="272"/>
      <c r="D91" s="272"/>
      <c r="E91" s="272"/>
      <c r="F91" s="272" t="s">
        <v>41</v>
      </c>
    </row>
    <row r="92" spans="1:6" ht="12.75">
      <c r="A92" s="272"/>
      <c r="B92" s="272"/>
      <c r="C92" s="272"/>
      <c r="D92" s="272"/>
      <c r="E92" s="272"/>
      <c r="F92" s="272" t="s">
        <v>486</v>
      </c>
    </row>
    <row r="94" spans="1:6" ht="12.75">
      <c r="A94" s="420" t="s">
        <v>313</v>
      </c>
      <c r="B94" s="420"/>
      <c r="C94" s="420"/>
      <c r="D94" s="420"/>
      <c r="E94" s="420"/>
      <c r="F94" s="420"/>
    </row>
    <row r="95" spans="1:6" ht="12.75">
      <c r="A95" s="420" t="s">
        <v>314</v>
      </c>
      <c r="B95" s="420"/>
      <c r="C95" s="420"/>
      <c r="D95" s="420"/>
      <c r="E95" s="420"/>
      <c r="F95" s="420"/>
    </row>
    <row r="97" ht="12.75">
      <c r="C97" s="87"/>
    </row>
    <row r="98" spans="1:6" ht="24.75" customHeight="1">
      <c r="A98" s="418" t="s">
        <v>325</v>
      </c>
      <c r="B98" s="418"/>
      <c r="C98" s="418"/>
      <c r="D98" s="418"/>
      <c r="E98" s="418"/>
      <c r="F98" s="418"/>
    </row>
    <row r="99" ht="12.75">
      <c r="C99" s="87"/>
    </row>
    <row r="101" spans="1:6" ht="38.25">
      <c r="A101" s="244" t="s">
        <v>315</v>
      </c>
      <c r="B101" s="244" t="s">
        <v>1</v>
      </c>
      <c r="C101" s="245" t="s">
        <v>334</v>
      </c>
      <c r="D101" s="245" t="s">
        <v>316</v>
      </c>
      <c r="E101" s="245" t="s">
        <v>209</v>
      </c>
      <c r="F101" s="244" t="s">
        <v>317</v>
      </c>
    </row>
    <row r="102" spans="1:6" ht="38.25">
      <c r="A102" s="244" t="s">
        <v>318</v>
      </c>
      <c r="B102" s="271" t="s">
        <v>319</v>
      </c>
      <c r="C102" s="244">
        <v>117</v>
      </c>
      <c r="D102" s="244">
        <v>11.2</v>
      </c>
      <c r="E102" s="244">
        <v>6</v>
      </c>
      <c r="F102" s="273">
        <f>D102/C102/2</f>
        <v>0.04786324786324786</v>
      </c>
    </row>
    <row r="103" spans="1:6" ht="25.5">
      <c r="A103" s="244" t="s">
        <v>321</v>
      </c>
      <c r="B103" s="274" t="s">
        <v>322</v>
      </c>
      <c r="C103" s="244">
        <v>233</v>
      </c>
      <c r="D103" s="244">
        <v>11.2</v>
      </c>
      <c r="E103" s="244">
        <v>12</v>
      </c>
      <c r="F103" s="273">
        <f>D103/C103</f>
        <v>0.04806866952789699</v>
      </c>
    </row>
    <row r="104" spans="1:6" ht="12.75">
      <c r="A104" s="413" t="s">
        <v>323</v>
      </c>
      <c r="B104" s="413"/>
      <c r="C104" s="413"/>
      <c r="D104" s="413"/>
      <c r="E104" s="413"/>
      <c r="F104" s="246">
        <f>SUM(F102:F103)</f>
        <v>0.09593191739114484</v>
      </c>
    </row>
    <row r="106" spans="1:4" ht="12.75">
      <c r="A106" s="413" t="s">
        <v>117</v>
      </c>
      <c r="B106" s="413"/>
      <c r="C106" s="245" t="s">
        <v>316</v>
      </c>
      <c r="D106" s="244" t="s">
        <v>317</v>
      </c>
    </row>
    <row r="107" spans="1:4" ht="12.75">
      <c r="A107" s="414" t="s">
        <v>487</v>
      </c>
      <c r="B107" s="414"/>
      <c r="C107" s="16">
        <v>11.2</v>
      </c>
      <c r="D107" s="246">
        <v>0.1</v>
      </c>
    </row>
    <row r="108" spans="3:4" ht="12.75">
      <c r="C108" s="16">
        <f>SUM(C107:C107)</f>
        <v>11.2</v>
      </c>
      <c r="D108" s="246">
        <f>SUM(D107:D107)</f>
        <v>0.1</v>
      </c>
    </row>
    <row r="109" spans="3:4" ht="12.75">
      <c r="C109" s="87"/>
      <c r="D109" s="114"/>
    </row>
    <row r="110" spans="1:6" ht="12.75">
      <c r="A110" s="16" t="s">
        <v>226</v>
      </c>
      <c r="B110" s="16" t="s">
        <v>227</v>
      </c>
      <c r="C110" s="16" t="s">
        <v>228</v>
      </c>
      <c r="D110" s="16" t="s">
        <v>229</v>
      </c>
      <c r="E110" s="16" t="s">
        <v>230</v>
      </c>
      <c r="F110" s="16" t="s">
        <v>231</v>
      </c>
    </row>
    <row r="111" spans="1:6" ht="12.75">
      <c r="A111" s="246">
        <f>F104</f>
        <v>0.09593191739114484</v>
      </c>
      <c r="B111" s="16">
        <v>3458</v>
      </c>
      <c r="C111" s="16">
        <v>1.2</v>
      </c>
      <c r="D111" s="16">
        <v>1.6</v>
      </c>
      <c r="E111" s="246">
        <f>A111*B111*C111*D111</f>
        <v>636.9265350500714</v>
      </c>
      <c r="F111" s="246">
        <f>E111*1.12</f>
        <v>713.35771925608</v>
      </c>
    </row>
    <row r="112" spans="3:4" ht="12.75">
      <c r="C112" s="87"/>
      <c r="D112" s="114"/>
    </row>
    <row r="113" spans="1:2" ht="12.75">
      <c r="A113" s="436" t="s">
        <v>324</v>
      </c>
      <c r="B113" s="347"/>
    </row>
    <row r="115" spans="1:5" ht="12.75">
      <c r="A115" s="435" t="s">
        <v>117</v>
      </c>
      <c r="B115" s="414"/>
      <c r="C115" s="141" t="s">
        <v>226</v>
      </c>
      <c r="D115" s="141" t="s">
        <v>208</v>
      </c>
      <c r="E115" s="141" t="s">
        <v>226</v>
      </c>
    </row>
    <row r="116" spans="1:5" ht="12.75">
      <c r="A116" s="435" t="s">
        <v>488</v>
      </c>
      <c r="B116" s="414"/>
      <c r="C116" s="410">
        <v>0.1</v>
      </c>
      <c r="D116" s="343">
        <v>4278.5</v>
      </c>
      <c r="E116" s="343">
        <f>C116/D118*D116</f>
        <v>0.05987098038118162</v>
      </c>
    </row>
    <row r="117" spans="1:5" ht="12.75">
      <c r="A117" s="435" t="s">
        <v>489</v>
      </c>
      <c r="B117" s="414"/>
      <c r="C117" s="410"/>
      <c r="D117" s="343">
        <v>2867.7</v>
      </c>
      <c r="E117" s="343">
        <f>C116/D118*D117</f>
        <v>0.040129019618818394</v>
      </c>
    </row>
    <row r="118" spans="2:5" ht="12.75">
      <c r="B118" s="147"/>
      <c r="C118" s="147"/>
      <c r="D118" s="344">
        <f>SUM(D116:D117)</f>
        <v>7146.2</v>
      </c>
      <c r="E118" s="147"/>
    </row>
  </sheetData>
  <sheetProtection/>
  <mergeCells count="38">
    <mergeCell ref="A116:B116"/>
    <mergeCell ref="C116:C117"/>
    <mergeCell ref="A117:B117"/>
    <mergeCell ref="A113:B113"/>
    <mergeCell ref="A94:F94"/>
    <mergeCell ref="A95:F95"/>
    <mergeCell ref="A98:F98"/>
    <mergeCell ref="A104:E104"/>
    <mergeCell ref="A115:B115"/>
    <mergeCell ref="A65:F65"/>
    <mergeCell ref="A71:E71"/>
    <mergeCell ref="A74:B74"/>
    <mergeCell ref="A75:B75"/>
    <mergeCell ref="A106:B106"/>
    <mergeCell ref="A107:B107"/>
    <mergeCell ref="A6:F6"/>
    <mergeCell ref="A7:F7"/>
    <mergeCell ref="A19:B19"/>
    <mergeCell ref="A20:B20"/>
    <mergeCell ref="A18:B18"/>
    <mergeCell ref="A16:E16"/>
    <mergeCell ref="A10:F10"/>
    <mergeCell ref="A45:B45"/>
    <mergeCell ref="A34:F34"/>
    <mergeCell ref="A35:F35"/>
    <mergeCell ref="A38:F38"/>
    <mergeCell ref="A44:E44"/>
    <mergeCell ref="A26:B26"/>
    <mergeCell ref="A83:B83"/>
    <mergeCell ref="A84:B84"/>
    <mergeCell ref="C84:C86"/>
    <mergeCell ref="A85:B85"/>
    <mergeCell ref="A86:B86"/>
    <mergeCell ref="A50:B50"/>
    <mergeCell ref="A73:B73"/>
    <mergeCell ref="A81:B81"/>
    <mergeCell ref="A61:F61"/>
    <mergeCell ref="A62:F62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F38" sqref="F38"/>
    </sheetView>
  </sheetViews>
  <sheetFormatPr defaultColWidth="9.00390625" defaultRowHeight="12.75"/>
  <cols>
    <col min="1" max="1" width="10.25390625" style="0" customWidth="1"/>
    <col min="3" max="3" width="9.75390625" style="0" customWidth="1"/>
  </cols>
  <sheetData>
    <row r="1" ht="12.75">
      <c r="A1" t="s">
        <v>422</v>
      </c>
    </row>
    <row r="2" spans="1:3" ht="12.75">
      <c r="A2">
        <v>5070.94</v>
      </c>
      <c r="B2" t="s">
        <v>398</v>
      </c>
      <c r="C2">
        <v>2008</v>
      </c>
    </row>
    <row r="3" spans="1:2" ht="12.75">
      <c r="A3">
        <v>2535.47</v>
      </c>
      <c r="B3" t="s">
        <v>86</v>
      </c>
    </row>
    <row r="4" spans="1:2" ht="12.75">
      <c r="A4">
        <v>2590.15</v>
      </c>
      <c r="B4" t="s">
        <v>87</v>
      </c>
    </row>
    <row r="5" spans="1:3" ht="12.75">
      <c r="A5">
        <v>3223.16</v>
      </c>
      <c r="B5" t="s">
        <v>88</v>
      </c>
      <c r="C5">
        <v>2009</v>
      </c>
    </row>
    <row r="6" spans="1:2" ht="12.75">
      <c r="A6">
        <v>2685.88</v>
      </c>
      <c r="B6" t="s">
        <v>89</v>
      </c>
    </row>
    <row r="7" spans="1:2" ht="12.75">
      <c r="A7">
        <v>3120.12</v>
      </c>
      <c r="B7" t="s">
        <v>92</v>
      </c>
    </row>
    <row r="8" spans="1:2" ht="12.75">
      <c r="A8">
        <v>3120.12</v>
      </c>
      <c r="B8" t="s">
        <v>85</v>
      </c>
    </row>
    <row r="9" spans="1:2" ht="12.75">
      <c r="A9">
        <v>3120.12</v>
      </c>
      <c r="B9" t="s">
        <v>399</v>
      </c>
    </row>
    <row r="10" spans="1:2" ht="12.75">
      <c r="A10">
        <v>3120.12</v>
      </c>
      <c r="B10" t="s">
        <v>95</v>
      </c>
    </row>
    <row r="11" spans="1:2" ht="12.75">
      <c r="A11">
        <v>3120.12</v>
      </c>
      <c r="B11" t="s">
        <v>96</v>
      </c>
    </row>
    <row r="12" spans="1:2" ht="12.75">
      <c r="A12">
        <v>3120.12</v>
      </c>
      <c r="B12" t="s">
        <v>97</v>
      </c>
    </row>
    <row r="13" spans="1:2" ht="12.75">
      <c r="A13">
        <v>3120.12</v>
      </c>
      <c r="B13" t="s">
        <v>98</v>
      </c>
    </row>
    <row r="14" spans="1:2" ht="12.75">
      <c r="A14">
        <v>3366.66</v>
      </c>
      <c r="B14" t="s">
        <v>99</v>
      </c>
    </row>
    <row r="15" spans="1:2" ht="12.75">
      <c r="A15">
        <v>3448.75</v>
      </c>
      <c r="B15" t="s">
        <v>86</v>
      </c>
    </row>
    <row r="16" spans="1:2" ht="12.75">
      <c r="A16">
        <v>3210.19</v>
      </c>
      <c r="B16" t="s">
        <v>87</v>
      </c>
    </row>
    <row r="17" spans="1:3" ht="12.75">
      <c r="A17">
        <v>3691.46</v>
      </c>
      <c r="B17" t="s">
        <v>88</v>
      </c>
      <c r="C17">
        <v>2010</v>
      </c>
    </row>
    <row r="18" spans="1:2" ht="12.75">
      <c r="A18">
        <v>3691.46</v>
      </c>
      <c r="B18" t="s">
        <v>89</v>
      </c>
    </row>
    <row r="19" spans="1:2" ht="12.75">
      <c r="A19">
        <v>3535.09</v>
      </c>
      <c r="B19" t="s">
        <v>92</v>
      </c>
    </row>
    <row r="20" spans="1:2" ht="12.75">
      <c r="A20">
        <v>3603.11</v>
      </c>
      <c r="B20" t="s">
        <v>85</v>
      </c>
    </row>
    <row r="21" spans="1:2" ht="12.75">
      <c r="A21">
        <v>3603.11</v>
      </c>
      <c r="B21" t="s">
        <v>399</v>
      </c>
    </row>
    <row r="22" spans="1:2" ht="12.75">
      <c r="A22">
        <v>3603.11</v>
      </c>
      <c r="B22" t="s">
        <v>95</v>
      </c>
    </row>
    <row r="23" spans="1:2" ht="12.75">
      <c r="A23">
        <v>3603.11</v>
      </c>
      <c r="B23" t="s">
        <v>96</v>
      </c>
    </row>
    <row r="24" spans="1:2" ht="12.75">
      <c r="A24">
        <v>3603.11</v>
      </c>
      <c r="B24" t="s">
        <v>97</v>
      </c>
    </row>
    <row r="25" spans="1:2" ht="12.75">
      <c r="A25">
        <v>3603.11</v>
      </c>
      <c r="B25" t="s">
        <v>98</v>
      </c>
    </row>
    <row r="26" spans="1:2" ht="12.75">
      <c r="A26">
        <v>3603.11</v>
      </c>
      <c r="B26" t="s">
        <v>99</v>
      </c>
    </row>
    <row r="27" spans="1:2" ht="12.75">
      <c r="A27">
        <v>3426.41</v>
      </c>
      <c r="B27" t="s">
        <v>86</v>
      </c>
    </row>
    <row r="28" spans="1:2" ht="12.75">
      <c r="A28">
        <v>3397.45</v>
      </c>
      <c r="B28" t="s">
        <v>87</v>
      </c>
    </row>
    <row r="29" spans="1:4" ht="12.75">
      <c r="A29" s="1">
        <f>SUM(A2:A28)</f>
        <v>90935.68</v>
      </c>
      <c r="B29" s="1"/>
      <c r="C29" s="1">
        <v>136578.78</v>
      </c>
      <c r="D29" s="280">
        <f>C29-A29</f>
        <v>45643.100000000006</v>
      </c>
    </row>
    <row r="30" spans="1:5" ht="12.75">
      <c r="A30" t="s">
        <v>401</v>
      </c>
      <c r="C30" t="s">
        <v>400</v>
      </c>
      <c r="E30" s="27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PageLayoutView="0" workbookViewId="0" topLeftCell="A1">
      <selection activeCell="E43" sqref="E43"/>
    </sheetView>
  </sheetViews>
  <sheetFormatPr defaultColWidth="9.00390625" defaultRowHeight="12.75"/>
  <cols>
    <col min="1" max="1" width="5.875" style="0" customWidth="1"/>
    <col min="2" max="2" width="55.375" style="0" customWidth="1"/>
    <col min="3" max="3" width="23.75390625" style="0" customWidth="1"/>
    <col min="4" max="4" width="9.625" style="0" customWidth="1"/>
    <col min="5" max="5" width="11.75390625" style="0" customWidth="1"/>
    <col min="6" max="6" width="60.625" style="0" customWidth="1"/>
    <col min="7" max="7" width="9.625" style="0" customWidth="1"/>
  </cols>
  <sheetData>
    <row r="1" spans="1:3" ht="12.75" customHeight="1">
      <c r="A1" s="420" t="s">
        <v>498</v>
      </c>
      <c r="B1" s="420"/>
      <c r="C1" s="420"/>
    </row>
    <row r="2" spans="1:5" ht="26.25" customHeight="1">
      <c r="A2" s="439" t="s">
        <v>396</v>
      </c>
      <c r="B2" s="439"/>
      <c r="C2" s="439"/>
      <c r="D2" s="82"/>
      <c r="E2" s="82"/>
    </row>
    <row r="3" spans="1:3" ht="12.75">
      <c r="A3" s="16" t="s">
        <v>28</v>
      </c>
      <c r="B3" s="16" t="s">
        <v>188</v>
      </c>
      <c r="C3" s="16" t="s">
        <v>336</v>
      </c>
    </row>
    <row r="4" spans="1:3" ht="12.75">
      <c r="A4" s="279">
        <v>1</v>
      </c>
      <c r="B4" s="1" t="s">
        <v>337</v>
      </c>
      <c r="C4" s="16">
        <v>0.73</v>
      </c>
    </row>
    <row r="5" spans="1:3" ht="12.75">
      <c r="A5" s="279">
        <v>2</v>
      </c>
      <c r="B5" s="1" t="s">
        <v>338</v>
      </c>
      <c r="C5" s="16">
        <v>2</v>
      </c>
    </row>
    <row r="6" spans="1:3" ht="12.75">
      <c r="A6" s="279">
        <v>3</v>
      </c>
      <c r="B6" s="1" t="s">
        <v>339</v>
      </c>
      <c r="C6" s="16">
        <v>0.55</v>
      </c>
    </row>
    <row r="7" spans="1:3" ht="25.5">
      <c r="A7" s="313">
        <v>4</v>
      </c>
      <c r="B7" s="271" t="s">
        <v>362</v>
      </c>
      <c r="C7" s="244">
        <v>1.56</v>
      </c>
    </row>
    <row r="8" spans="1:3" ht="12.75">
      <c r="A8" s="279">
        <v>5</v>
      </c>
      <c r="B8" s="1" t="s">
        <v>340</v>
      </c>
      <c r="C8" s="16">
        <v>0.81</v>
      </c>
    </row>
    <row r="9" spans="1:3" ht="12.75">
      <c r="A9" s="279">
        <v>6</v>
      </c>
      <c r="B9" s="1" t="s">
        <v>84</v>
      </c>
      <c r="C9" s="16">
        <v>0.35</v>
      </c>
    </row>
    <row r="10" spans="1:3" ht="12.75">
      <c r="A10" s="279">
        <v>7</v>
      </c>
      <c r="B10" s="331" t="s">
        <v>343</v>
      </c>
      <c r="C10" s="332"/>
    </row>
    <row r="11" spans="1:3" ht="12.75">
      <c r="A11" s="276" t="s">
        <v>342</v>
      </c>
      <c r="B11" s="1" t="s">
        <v>497</v>
      </c>
      <c r="C11" s="246">
        <f>C19*0.15</f>
        <v>1.4745</v>
      </c>
    </row>
    <row r="12" spans="1:3" ht="25.5">
      <c r="A12" s="277" t="s">
        <v>344</v>
      </c>
      <c r="B12" s="271" t="s">
        <v>346</v>
      </c>
      <c r="C12" s="244">
        <v>0.3</v>
      </c>
    </row>
    <row r="13" spans="1:3" ht="12.75">
      <c r="A13" s="277" t="s">
        <v>347</v>
      </c>
      <c r="B13" s="271" t="s">
        <v>348</v>
      </c>
      <c r="C13" s="246">
        <f>C19*0.02</f>
        <v>0.1966</v>
      </c>
    </row>
    <row r="14" spans="1:3" ht="12.75">
      <c r="A14" s="277" t="s">
        <v>349</v>
      </c>
      <c r="B14" s="271" t="s">
        <v>350</v>
      </c>
      <c r="C14" s="16">
        <v>0.5</v>
      </c>
    </row>
    <row r="15" spans="1:3" ht="12.75">
      <c r="A15" s="314">
        <v>9</v>
      </c>
      <c r="B15" s="1" t="s">
        <v>345</v>
      </c>
      <c r="C15" s="16">
        <v>0.3</v>
      </c>
    </row>
    <row r="16" spans="1:3" ht="12.75">
      <c r="A16" s="279">
        <v>10</v>
      </c>
      <c r="B16" s="1" t="s">
        <v>341</v>
      </c>
      <c r="C16" s="246">
        <f>C19*0.06</f>
        <v>0.5898</v>
      </c>
    </row>
    <row r="17" spans="1:3" ht="12.75">
      <c r="A17" s="16"/>
      <c r="B17" s="1" t="s">
        <v>360</v>
      </c>
      <c r="C17" s="246">
        <v>9.36</v>
      </c>
    </row>
    <row r="18" spans="1:3" ht="12.75">
      <c r="A18" s="278"/>
      <c r="B18" s="1" t="s">
        <v>411</v>
      </c>
      <c r="C18" s="246">
        <f>C17*0.05</f>
        <v>0.46799999999999997</v>
      </c>
    </row>
    <row r="19" spans="1:3" ht="12.75">
      <c r="A19" s="16"/>
      <c r="B19" s="280" t="s">
        <v>361</v>
      </c>
      <c r="C19" s="269">
        <v>9.83</v>
      </c>
    </row>
    <row r="20" ht="12.75">
      <c r="C20" s="175"/>
    </row>
    <row r="21" spans="1:3" ht="12.75" customHeight="1">
      <c r="A21" s="420" t="s">
        <v>498</v>
      </c>
      <c r="B21" s="420"/>
      <c r="C21" s="420"/>
    </row>
    <row r="22" spans="1:3" ht="24.75" customHeight="1">
      <c r="A22" s="439" t="s">
        <v>496</v>
      </c>
      <c r="B22" s="439"/>
      <c r="C22" s="439"/>
    </row>
    <row r="23" spans="1:3" ht="12.75">
      <c r="A23" s="16" t="s">
        <v>28</v>
      </c>
      <c r="B23" s="16" t="s">
        <v>188</v>
      </c>
      <c r="C23" s="16" t="s">
        <v>336</v>
      </c>
    </row>
    <row r="24" spans="1:3" ht="12.75">
      <c r="A24" s="279">
        <v>1</v>
      </c>
      <c r="B24" s="127" t="s">
        <v>337</v>
      </c>
      <c r="C24" s="16">
        <v>0.21</v>
      </c>
    </row>
    <row r="25" spans="1:3" ht="12.75">
      <c r="A25" s="279">
        <v>2</v>
      </c>
      <c r="B25" s="127" t="s">
        <v>338</v>
      </c>
      <c r="C25" s="16">
        <v>1.47</v>
      </c>
    </row>
    <row r="26" spans="1:3" ht="12.75">
      <c r="A26" s="279">
        <v>3</v>
      </c>
      <c r="B26" s="127" t="s">
        <v>339</v>
      </c>
      <c r="C26" s="16">
        <v>0.55</v>
      </c>
    </row>
    <row r="27" spans="1:3" ht="25.5">
      <c r="A27" s="313">
        <v>4</v>
      </c>
      <c r="B27" s="340" t="s">
        <v>362</v>
      </c>
      <c r="C27" s="244">
        <v>1.37</v>
      </c>
    </row>
    <row r="28" spans="1:3" ht="12.75">
      <c r="A28" s="279">
        <v>5</v>
      </c>
      <c r="B28" s="127" t="s">
        <v>340</v>
      </c>
      <c r="C28" s="16">
        <v>0.64</v>
      </c>
    </row>
    <row r="29" spans="1:3" ht="12.75">
      <c r="A29" s="279">
        <v>6</v>
      </c>
      <c r="B29" s="127" t="s">
        <v>84</v>
      </c>
      <c r="C29" s="16">
        <v>0.35</v>
      </c>
    </row>
    <row r="30" spans="1:3" ht="12.75">
      <c r="A30" s="279">
        <v>7</v>
      </c>
      <c r="B30" s="127" t="s">
        <v>471</v>
      </c>
      <c r="C30" s="16">
        <v>2.16</v>
      </c>
    </row>
    <row r="31" spans="1:3" ht="12.75">
      <c r="A31" s="279">
        <v>8</v>
      </c>
      <c r="B31" s="127" t="s">
        <v>57</v>
      </c>
      <c r="C31" s="16">
        <v>1.7</v>
      </c>
    </row>
    <row r="32" spans="1:3" ht="12.75">
      <c r="A32" s="279">
        <v>9</v>
      </c>
      <c r="B32" s="331" t="s">
        <v>343</v>
      </c>
      <c r="C32" s="9"/>
    </row>
    <row r="33" spans="1:3" ht="12.75">
      <c r="A33" s="276" t="s">
        <v>393</v>
      </c>
      <c r="B33" s="1" t="s">
        <v>497</v>
      </c>
      <c r="C33" s="246">
        <v>1.43</v>
      </c>
    </row>
    <row r="34" spans="1:3" ht="25.5">
      <c r="A34" s="277" t="s">
        <v>394</v>
      </c>
      <c r="B34" s="340" t="s">
        <v>346</v>
      </c>
      <c r="C34" s="244">
        <v>0.3</v>
      </c>
    </row>
    <row r="35" spans="1:3" ht="12.75">
      <c r="A35" s="277" t="s">
        <v>395</v>
      </c>
      <c r="B35" s="340" t="s">
        <v>348</v>
      </c>
      <c r="C35" s="246">
        <v>0.24</v>
      </c>
    </row>
    <row r="36" spans="1:3" ht="12.75">
      <c r="A36" s="339" t="s">
        <v>472</v>
      </c>
      <c r="B36" s="340" t="s">
        <v>350</v>
      </c>
      <c r="C36" s="16">
        <v>0.2</v>
      </c>
    </row>
    <row r="37" spans="1:3" ht="12.75">
      <c r="A37" s="279">
        <v>11</v>
      </c>
      <c r="B37" s="127" t="s">
        <v>341</v>
      </c>
      <c r="C37" s="246">
        <v>0.72</v>
      </c>
    </row>
    <row r="38" spans="1:3" ht="12.75">
      <c r="A38" s="16"/>
      <c r="B38" s="127" t="s">
        <v>360</v>
      </c>
      <c r="C38" s="246">
        <f>C37+C36+C35+C34+C33+C30+C29+C28+C27+C26+C25+C24+C31</f>
        <v>11.34</v>
      </c>
    </row>
    <row r="39" spans="1:3" ht="12.75">
      <c r="A39" s="278"/>
      <c r="B39" s="127" t="s">
        <v>411</v>
      </c>
      <c r="C39" s="246">
        <f>C38*0.05</f>
        <v>0.5670000000000001</v>
      </c>
    </row>
    <row r="40" spans="1:3" ht="12.75">
      <c r="A40" s="16"/>
      <c r="B40" s="341" t="s">
        <v>361</v>
      </c>
      <c r="C40" s="269">
        <v>11.91</v>
      </c>
    </row>
    <row r="41" ht="12.75">
      <c r="C41" s="175"/>
    </row>
    <row r="43" spans="1:3" ht="12.75" customHeight="1">
      <c r="A43" s="420" t="s">
        <v>498</v>
      </c>
      <c r="B43" s="420"/>
      <c r="C43" s="420"/>
    </row>
    <row r="44" spans="1:3" ht="24.75" customHeight="1">
      <c r="A44" s="439" t="s">
        <v>397</v>
      </c>
      <c r="B44" s="439"/>
      <c r="C44" s="439"/>
    </row>
    <row r="45" spans="1:3" ht="12.75">
      <c r="A45" s="16" t="s">
        <v>28</v>
      </c>
      <c r="B45" s="16" t="s">
        <v>188</v>
      </c>
      <c r="C45" s="16" t="s">
        <v>336</v>
      </c>
    </row>
    <row r="46" spans="1:3" ht="12.75">
      <c r="A46" s="279">
        <v>1</v>
      </c>
      <c r="B46" s="1" t="s">
        <v>337</v>
      </c>
      <c r="C46" s="246">
        <v>0.24</v>
      </c>
    </row>
    <row r="47" spans="1:3" ht="12.75">
      <c r="A47" s="279">
        <v>2</v>
      </c>
      <c r="B47" s="1" t="s">
        <v>338</v>
      </c>
      <c r="C47" s="246">
        <v>2.38</v>
      </c>
    </row>
    <row r="48" spans="1:3" ht="12.75">
      <c r="A48" s="279">
        <v>3</v>
      </c>
      <c r="B48" s="1" t="s">
        <v>339</v>
      </c>
      <c r="C48" s="246">
        <v>0.55</v>
      </c>
    </row>
    <row r="49" spans="1:3" ht="25.5">
      <c r="A49" s="313">
        <v>4</v>
      </c>
      <c r="B49" s="271" t="s">
        <v>362</v>
      </c>
      <c r="C49" s="273">
        <v>1.2</v>
      </c>
    </row>
    <row r="50" spans="1:3" ht="12.75">
      <c r="A50" s="279">
        <v>5</v>
      </c>
      <c r="B50" s="1" t="s">
        <v>340</v>
      </c>
      <c r="C50" s="246">
        <v>1.23</v>
      </c>
    </row>
    <row r="51" spans="1:3" ht="12.75">
      <c r="A51" s="279">
        <v>6</v>
      </c>
      <c r="B51" s="1" t="s">
        <v>84</v>
      </c>
      <c r="C51" s="246">
        <v>0.15</v>
      </c>
    </row>
    <row r="52" spans="1:3" ht="12.75">
      <c r="A52" s="279">
        <v>8</v>
      </c>
      <c r="B52" s="331" t="s">
        <v>343</v>
      </c>
      <c r="C52" s="342"/>
    </row>
    <row r="53" spans="1:3" ht="12.75">
      <c r="A53" s="276" t="s">
        <v>390</v>
      </c>
      <c r="B53" s="1" t="s">
        <v>497</v>
      </c>
      <c r="C53" s="246">
        <v>1</v>
      </c>
    </row>
    <row r="54" spans="1:3" ht="25.5">
      <c r="A54" s="277" t="s">
        <v>391</v>
      </c>
      <c r="B54" s="271" t="s">
        <v>346</v>
      </c>
      <c r="C54" s="273">
        <v>0.3</v>
      </c>
    </row>
    <row r="55" spans="1:3" ht="12.75">
      <c r="A55" s="277" t="s">
        <v>392</v>
      </c>
      <c r="B55" s="271" t="s">
        <v>348</v>
      </c>
      <c r="C55" s="246">
        <v>0.17</v>
      </c>
    </row>
    <row r="56" spans="1:3" ht="12.75">
      <c r="A56" s="339" t="s">
        <v>472</v>
      </c>
      <c r="B56" s="271" t="s">
        <v>350</v>
      </c>
      <c r="C56" s="246">
        <v>0.2</v>
      </c>
    </row>
    <row r="57" spans="1:3" ht="12.75">
      <c r="A57" s="279">
        <v>10</v>
      </c>
      <c r="B57" s="1" t="s">
        <v>341</v>
      </c>
      <c r="C57" s="246">
        <v>0.5</v>
      </c>
    </row>
    <row r="58" spans="1:3" ht="12.75">
      <c r="A58" s="16"/>
      <c r="B58" s="1" t="s">
        <v>360</v>
      </c>
      <c r="C58" s="246">
        <f>C46+C47+C48+C49+C50+C51+C53+C54+C55+C56+C57</f>
        <v>7.92</v>
      </c>
    </row>
    <row r="59" spans="1:3" ht="12.75">
      <c r="A59" s="278"/>
      <c r="B59" s="1" t="s">
        <v>411</v>
      </c>
      <c r="C59" s="246">
        <f>C58*0.05</f>
        <v>0.396</v>
      </c>
    </row>
    <row r="60" spans="1:3" ht="12.75">
      <c r="A60" s="16"/>
      <c r="B60" s="280" t="s">
        <v>361</v>
      </c>
      <c r="C60" s="269">
        <v>8.32</v>
      </c>
    </row>
    <row r="61" ht="12.75">
      <c r="C61" s="175"/>
    </row>
    <row r="63" ht="12.75">
      <c r="B63" t="s">
        <v>363</v>
      </c>
    </row>
  </sheetData>
  <sheetProtection/>
  <mergeCells count="6">
    <mergeCell ref="A2:C2"/>
    <mergeCell ref="A22:C22"/>
    <mergeCell ref="A44:C44"/>
    <mergeCell ref="A1:C1"/>
    <mergeCell ref="A21:C21"/>
    <mergeCell ref="A43:C43"/>
  </mergeCells>
  <printOptions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20" sqref="A20:D35"/>
    </sheetView>
  </sheetViews>
  <sheetFormatPr defaultColWidth="9.00390625" defaultRowHeight="12.75"/>
  <cols>
    <col min="1" max="1" width="28.875" style="0" customWidth="1"/>
    <col min="2" max="2" width="15.125" style="0" customWidth="1"/>
    <col min="3" max="3" width="14.25390625" style="0" customWidth="1"/>
    <col min="4" max="4" width="22.625" style="0" customWidth="1"/>
    <col min="5" max="5" width="12.25390625" style="0" customWidth="1"/>
    <col min="6" max="6" width="19.375" style="0" customWidth="1"/>
  </cols>
  <sheetData>
    <row r="1" spans="1:4" ht="12.75">
      <c r="A1" s="349" t="s">
        <v>450</v>
      </c>
      <c r="B1" s="349"/>
      <c r="C1" s="349"/>
      <c r="D1" s="349"/>
    </row>
    <row r="2" spans="1:4" ht="12.75">
      <c r="A2" s="1"/>
      <c r="B2" s="1" t="s">
        <v>430</v>
      </c>
      <c r="C2" s="16" t="s">
        <v>433</v>
      </c>
      <c r="D2" s="16" t="s">
        <v>436</v>
      </c>
    </row>
    <row r="3" spans="1:6" ht="12.75">
      <c r="A3" s="1" t="s">
        <v>431</v>
      </c>
      <c r="B3" s="16">
        <v>100</v>
      </c>
      <c r="C3" s="16" t="s">
        <v>432</v>
      </c>
      <c r="D3" s="16" t="s">
        <v>443</v>
      </c>
      <c r="E3" s="82"/>
      <c r="F3" s="330"/>
    </row>
    <row r="4" spans="1:6" ht="12.75">
      <c r="A4" s="1" t="s">
        <v>447</v>
      </c>
      <c r="B4" s="16">
        <v>154.4</v>
      </c>
      <c r="C4" s="16" t="s">
        <v>432</v>
      </c>
      <c r="D4" s="16" t="s">
        <v>443</v>
      </c>
      <c r="E4" s="82"/>
      <c r="F4" s="330"/>
    </row>
    <row r="5" spans="1:6" ht="25.5">
      <c r="A5" s="271" t="s">
        <v>448</v>
      </c>
      <c r="B5" s="244">
        <v>125.9</v>
      </c>
      <c r="C5" s="244" t="s">
        <v>438</v>
      </c>
      <c r="D5" s="244" t="s">
        <v>443</v>
      </c>
      <c r="E5" s="82"/>
      <c r="F5" s="330"/>
    </row>
    <row r="6" spans="1:6" ht="12.75">
      <c r="A6" s="1" t="s">
        <v>434</v>
      </c>
      <c r="B6" s="16">
        <v>8.96</v>
      </c>
      <c r="C6" s="16" t="s">
        <v>432</v>
      </c>
      <c r="D6" s="348" t="s">
        <v>439</v>
      </c>
      <c r="E6" s="82"/>
      <c r="F6" s="330"/>
    </row>
    <row r="7" spans="1:6" ht="12.75">
      <c r="A7" s="1" t="s">
        <v>435</v>
      </c>
      <c r="B7" s="16">
        <v>5.44</v>
      </c>
      <c r="C7" s="16" t="s">
        <v>432</v>
      </c>
      <c r="D7" s="348"/>
      <c r="E7" s="82"/>
      <c r="F7" s="330"/>
    </row>
    <row r="8" spans="1:6" ht="12.75">
      <c r="A8" s="1" t="s">
        <v>437</v>
      </c>
      <c r="B8" s="16">
        <v>5.44</v>
      </c>
      <c r="C8" s="16" t="s">
        <v>438</v>
      </c>
      <c r="D8" s="348"/>
      <c r="E8" s="82"/>
      <c r="F8" s="330"/>
    </row>
    <row r="9" spans="1:6" ht="12.75">
      <c r="A9" s="1" t="s">
        <v>440</v>
      </c>
      <c r="B9" s="16"/>
      <c r="C9" s="16" t="s">
        <v>441</v>
      </c>
      <c r="D9" s="16" t="s">
        <v>442</v>
      </c>
      <c r="E9" s="82"/>
      <c r="F9" s="330"/>
    </row>
    <row r="10" spans="1:6" ht="12.75">
      <c r="A10" s="1" t="s">
        <v>444</v>
      </c>
      <c r="B10" s="16"/>
      <c r="C10" s="16" t="s">
        <v>441</v>
      </c>
      <c r="D10" s="16" t="s">
        <v>446</v>
      </c>
      <c r="E10" s="82"/>
      <c r="F10" s="330"/>
    </row>
    <row r="11" spans="1:6" ht="12.75">
      <c r="A11" s="1" t="s">
        <v>445</v>
      </c>
      <c r="B11" s="16"/>
      <c r="C11" s="16" t="s">
        <v>441</v>
      </c>
      <c r="D11" s="16" t="s">
        <v>446</v>
      </c>
      <c r="E11" s="82"/>
      <c r="F11" s="330"/>
    </row>
    <row r="12" spans="1:6" ht="12.75">
      <c r="A12" s="1"/>
      <c r="B12" s="16">
        <f>SUM(B3:B11)</f>
        <v>400.14</v>
      </c>
      <c r="C12" s="16"/>
      <c r="D12" s="16"/>
      <c r="E12" s="82"/>
      <c r="F12" s="330"/>
    </row>
    <row r="13" spans="2:6" ht="12.75">
      <c r="B13" s="82"/>
      <c r="C13" s="82"/>
      <c r="D13" s="82"/>
      <c r="E13" s="82"/>
      <c r="F13" s="330"/>
    </row>
    <row r="14" spans="1:6" ht="12.75">
      <c r="A14" t="s">
        <v>449</v>
      </c>
      <c r="B14" s="82">
        <v>40.6</v>
      </c>
      <c r="C14" s="82"/>
      <c r="D14" s="82"/>
      <c r="E14" s="82"/>
      <c r="F14" s="330"/>
    </row>
    <row r="15" spans="1:6" ht="12.75">
      <c r="A15" t="s">
        <v>82</v>
      </c>
      <c r="B15" s="330">
        <f>B12*B14</f>
        <v>16245.684</v>
      </c>
      <c r="C15" s="82" t="s">
        <v>83</v>
      </c>
      <c r="D15" s="82"/>
      <c r="E15" s="82"/>
      <c r="F15" s="330"/>
    </row>
    <row r="16" spans="1:6" ht="12.75">
      <c r="A16" t="s">
        <v>227</v>
      </c>
      <c r="B16" s="330">
        <f>B15/1.6/1.5</f>
        <v>6769.035</v>
      </c>
      <c r="C16" s="82" t="s">
        <v>83</v>
      </c>
      <c r="D16" s="82"/>
      <c r="E16" s="82"/>
      <c r="F16" s="330"/>
    </row>
    <row r="17" spans="2:6" ht="12.75">
      <c r="B17" s="82"/>
      <c r="C17" s="82"/>
      <c r="D17" s="82"/>
      <c r="E17" s="82"/>
      <c r="F17" s="330"/>
    </row>
    <row r="18" spans="1:6" ht="12.75">
      <c r="A18" t="s">
        <v>451</v>
      </c>
      <c r="C18" s="82"/>
      <c r="D18" s="82"/>
      <c r="E18" s="82"/>
      <c r="F18" s="330"/>
    </row>
    <row r="19" spans="3:6" ht="12.75">
      <c r="C19" s="82"/>
      <c r="D19" s="82"/>
      <c r="E19" s="82"/>
      <c r="F19" s="330"/>
    </row>
    <row r="20" spans="1:6" ht="12.75">
      <c r="A20" s="350" t="s">
        <v>490</v>
      </c>
      <c r="B20" s="350"/>
      <c r="C20" s="350"/>
      <c r="D20" s="350"/>
      <c r="E20" s="82"/>
      <c r="F20" s="330"/>
    </row>
    <row r="21" spans="1:6" ht="12.75">
      <c r="A21" s="338"/>
      <c r="B21" s="338"/>
      <c r="C21" s="338"/>
      <c r="D21" s="338"/>
      <c r="E21" s="82"/>
      <c r="F21" s="330"/>
    </row>
    <row r="22" spans="1:6" ht="12.75">
      <c r="A22" s="1"/>
      <c r="B22" s="1" t="s">
        <v>430</v>
      </c>
      <c r="C22" s="16" t="s">
        <v>433</v>
      </c>
      <c r="D22" s="16" t="s">
        <v>436</v>
      </c>
      <c r="E22" s="82"/>
      <c r="F22" s="330"/>
    </row>
    <row r="23" spans="1:6" ht="12.75">
      <c r="A23" s="1" t="s">
        <v>431</v>
      </c>
      <c r="B23" s="16">
        <v>58.6</v>
      </c>
      <c r="C23" s="16" t="s">
        <v>432</v>
      </c>
      <c r="D23" s="16" t="s">
        <v>443</v>
      </c>
      <c r="E23" s="82"/>
      <c r="F23" s="330"/>
    </row>
    <row r="24" spans="1:6" ht="12.75">
      <c r="A24" s="1" t="s">
        <v>434</v>
      </c>
      <c r="B24" s="16">
        <v>4</v>
      </c>
      <c r="C24" s="16" t="s">
        <v>432</v>
      </c>
      <c r="D24" s="348" t="s">
        <v>439</v>
      </c>
      <c r="E24" s="82"/>
      <c r="F24" s="330"/>
    </row>
    <row r="25" spans="1:6" ht="12.75">
      <c r="A25" s="1" t="s">
        <v>491</v>
      </c>
      <c r="B25" s="16">
        <v>6.8</v>
      </c>
      <c r="C25" s="16" t="s">
        <v>432</v>
      </c>
      <c r="D25" s="348"/>
      <c r="E25" s="82"/>
      <c r="F25" s="330"/>
    </row>
    <row r="26" spans="1:5" ht="12.75">
      <c r="A26" s="1" t="s">
        <v>492</v>
      </c>
      <c r="B26" s="16"/>
      <c r="C26" s="16" t="s">
        <v>441</v>
      </c>
      <c r="D26" s="16" t="s">
        <v>442</v>
      </c>
      <c r="E26" s="82"/>
    </row>
    <row r="27" spans="1:5" ht="12.75">
      <c r="A27" s="1" t="s">
        <v>493</v>
      </c>
      <c r="B27" s="16"/>
      <c r="C27" s="16" t="s">
        <v>441</v>
      </c>
      <c r="D27" s="16" t="s">
        <v>446</v>
      </c>
      <c r="E27" s="82"/>
    </row>
    <row r="28" spans="1:5" ht="12.75">
      <c r="A28" s="1" t="s">
        <v>445</v>
      </c>
      <c r="B28" s="16"/>
      <c r="C28" s="16" t="s">
        <v>441</v>
      </c>
      <c r="D28" s="16" t="s">
        <v>446</v>
      </c>
      <c r="E28" s="82"/>
    </row>
    <row r="29" spans="1:4" ht="12.75">
      <c r="A29" s="1"/>
      <c r="B29" s="16">
        <f>SUM(B23:B28)</f>
        <v>69.4</v>
      </c>
      <c r="C29" s="16"/>
      <c r="D29" s="16"/>
    </row>
    <row r="30" spans="2:4" ht="12.75">
      <c r="B30" s="82"/>
      <c r="C30" s="82"/>
      <c r="D30" s="82"/>
    </row>
    <row r="31" spans="1:4" ht="12.75">
      <c r="A31" t="s">
        <v>449</v>
      </c>
      <c r="B31" s="82">
        <v>107.2</v>
      </c>
      <c r="C31" s="82"/>
      <c r="D31" s="82"/>
    </row>
    <row r="32" spans="1:4" ht="12.75">
      <c r="A32" t="s">
        <v>82</v>
      </c>
      <c r="B32" s="330">
        <v>7440</v>
      </c>
      <c r="C32" s="82" t="s">
        <v>83</v>
      </c>
      <c r="D32" s="82"/>
    </row>
    <row r="33" spans="1:4" ht="12.75">
      <c r="A33" t="s">
        <v>227</v>
      </c>
      <c r="B33" s="330">
        <f>B32/1.6/1.5</f>
        <v>3100</v>
      </c>
      <c r="C33" s="82" t="s">
        <v>83</v>
      </c>
      <c r="D33" s="82"/>
    </row>
    <row r="34" spans="2:4" ht="12.75">
      <c r="B34" s="82"/>
      <c r="C34" s="82"/>
      <c r="D34" s="82"/>
    </row>
    <row r="35" spans="1:4" ht="12.75">
      <c r="A35" t="s">
        <v>451</v>
      </c>
      <c r="C35" s="82"/>
      <c r="D35" s="82"/>
    </row>
  </sheetData>
  <sheetProtection/>
  <mergeCells count="4">
    <mergeCell ref="D6:D8"/>
    <mergeCell ref="A1:D1"/>
    <mergeCell ref="A20:D20"/>
    <mergeCell ref="D24:D2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3.125" style="0" customWidth="1"/>
    <col min="2" max="2" width="21.125" style="0" customWidth="1"/>
    <col min="4" max="4" width="9.875" style="0" customWidth="1"/>
    <col min="5" max="5" width="12.25390625" style="0" customWidth="1"/>
    <col min="6" max="6" width="13.25390625" style="0" customWidth="1"/>
    <col min="7" max="7" width="13.625" style="0" customWidth="1"/>
  </cols>
  <sheetData>
    <row r="1" ht="12.75">
      <c r="B1" t="s">
        <v>470</v>
      </c>
    </row>
    <row r="2" spans="1:8" ht="15">
      <c r="A2" s="351" t="s">
        <v>16</v>
      </c>
      <c r="B2" s="347"/>
      <c r="C2" s="347"/>
      <c r="D2" s="347"/>
      <c r="E2" s="347"/>
      <c r="F2" s="347"/>
      <c r="G2" s="347"/>
      <c r="H2" s="27"/>
    </row>
    <row r="3" spans="2:8" ht="13.5" thickBot="1">
      <c r="B3" s="4"/>
      <c r="C3" s="4"/>
      <c r="D3" s="4"/>
      <c r="E3" s="4"/>
      <c r="F3" s="4"/>
      <c r="G3" s="4"/>
      <c r="H3" s="4"/>
    </row>
    <row r="4" spans="1:8" ht="38.25">
      <c r="A4" s="23" t="s">
        <v>4</v>
      </c>
      <c r="B4" s="10" t="s">
        <v>1</v>
      </c>
      <c r="C4" s="10" t="s">
        <v>2</v>
      </c>
      <c r="D4" s="11" t="s">
        <v>0</v>
      </c>
      <c r="E4" s="12" t="s">
        <v>3</v>
      </c>
      <c r="F4" s="13" t="s">
        <v>7</v>
      </c>
      <c r="G4" s="14" t="s">
        <v>9</v>
      </c>
      <c r="H4" s="4"/>
    </row>
    <row r="5" spans="1:8" ht="12.75">
      <c r="A5" s="24">
        <v>1</v>
      </c>
      <c r="B5" s="1" t="s">
        <v>5</v>
      </c>
      <c r="C5" s="16" t="s">
        <v>6</v>
      </c>
      <c r="D5" s="16">
        <v>1</v>
      </c>
      <c r="E5" s="16">
        <v>0.18</v>
      </c>
      <c r="F5" s="16">
        <v>56.37</v>
      </c>
      <c r="G5" s="17">
        <f>E5*F5</f>
        <v>10.1466</v>
      </c>
      <c r="H5" s="4"/>
    </row>
    <row r="6" spans="1:8" ht="12.75">
      <c r="A6" s="24">
        <v>2</v>
      </c>
      <c r="B6" s="8" t="s">
        <v>11</v>
      </c>
      <c r="C6" s="18" t="s">
        <v>10</v>
      </c>
      <c r="D6" s="18">
        <v>2</v>
      </c>
      <c r="E6" s="16">
        <v>0.03</v>
      </c>
      <c r="F6" s="16">
        <v>56.37</v>
      </c>
      <c r="G6" s="17">
        <f>E6*F6</f>
        <v>1.6910999999999998</v>
      </c>
      <c r="H6" s="4"/>
    </row>
    <row r="7" spans="1:8" ht="13.5" thickBot="1">
      <c r="A7" s="25"/>
      <c r="B7" s="2"/>
      <c r="C7" s="19"/>
      <c r="D7" s="19"/>
      <c r="E7" s="19"/>
      <c r="F7" s="19"/>
      <c r="G7" s="20">
        <v>11.84</v>
      </c>
      <c r="H7" s="4"/>
    </row>
    <row r="8" spans="1:8" ht="12.75">
      <c r="A8" s="6"/>
      <c r="B8" s="4"/>
      <c r="C8" s="4"/>
      <c r="D8" s="4"/>
      <c r="E8" s="4"/>
      <c r="F8" s="4"/>
      <c r="G8" s="7"/>
      <c r="H8" s="4"/>
    </row>
    <row r="9" spans="1:8" ht="13.5" thickBot="1">
      <c r="A9" s="3"/>
      <c r="B9" s="4"/>
      <c r="C9" s="4"/>
      <c r="D9" s="4"/>
      <c r="E9" s="4"/>
      <c r="F9" s="4"/>
      <c r="G9" s="7"/>
      <c r="H9" s="4"/>
    </row>
    <row r="10" spans="1:8" ht="38.25">
      <c r="A10" s="23" t="s">
        <v>4</v>
      </c>
      <c r="B10" s="10" t="s">
        <v>1</v>
      </c>
      <c r="C10" s="10" t="s">
        <v>2</v>
      </c>
      <c r="D10" s="11" t="s">
        <v>0</v>
      </c>
      <c r="E10" s="12" t="s">
        <v>3</v>
      </c>
      <c r="F10" s="13" t="s">
        <v>7</v>
      </c>
      <c r="G10" s="14" t="s">
        <v>9</v>
      </c>
      <c r="H10" s="4"/>
    </row>
    <row r="11" spans="1:8" ht="12.75">
      <c r="A11" s="24">
        <v>1</v>
      </c>
      <c r="B11" s="9" t="s">
        <v>8</v>
      </c>
      <c r="C11" s="16" t="s">
        <v>6</v>
      </c>
      <c r="D11" s="16">
        <v>1</v>
      </c>
      <c r="E11" s="16">
        <v>0.26</v>
      </c>
      <c r="F11" s="16">
        <v>56.37</v>
      </c>
      <c r="G11" s="17">
        <f>E11*F11</f>
        <v>14.6562</v>
      </c>
      <c r="H11" s="4"/>
    </row>
    <row r="12" spans="1:8" ht="13.5" thickBot="1">
      <c r="A12" s="25"/>
      <c r="B12" s="2"/>
      <c r="C12" s="19"/>
      <c r="D12" s="19"/>
      <c r="E12" s="19"/>
      <c r="F12" s="19"/>
      <c r="G12" s="21">
        <v>14.66</v>
      </c>
      <c r="H12" s="4"/>
    </row>
    <row r="13" spans="1:8" ht="13.5" thickBot="1">
      <c r="A13" s="3"/>
      <c r="B13" s="4"/>
      <c r="C13" s="4"/>
      <c r="D13" s="4"/>
      <c r="E13" s="4"/>
      <c r="F13" s="4"/>
      <c r="G13" s="4"/>
      <c r="H13" s="4"/>
    </row>
    <row r="14" spans="1:8" ht="38.25" customHeight="1">
      <c r="A14" s="23" t="s">
        <v>4</v>
      </c>
      <c r="B14" s="11" t="s">
        <v>9</v>
      </c>
      <c r="C14" s="10" t="s">
        <v>12</v>
      </c>
      <c r="D14" s="12" t="s">
        <v>14</v>
      </c>
      <c r="E14" s="15" t="s">
        <v>13</v>
      </c>
      <c r="G14" s="4"/>
      <c r="H14" s="4"/>
    </row>
    <row r="15" spans="1:8" ht="12.75">
      <c r="A15" s="24">
        <v>1</v>
      </c>
      <c r="B15" s="16">
        <v>11.84</v>
      </c>
      <c r="C15" s="16">
        <v>1.6</v>
      </c>
      <c r="D15" s="16">
        <v>22</v>
      </c>
      <c r="E15" s="26">
        <f>B15*C15*D15</f>
        <v>416.768</v>
      </c>
      <c r="G15" s="4"/>
      <c r="H15" s="4"/>
    </row>
    <row r="16" spans="1:8" ht="12.75">
      <c r="A16" s="24">
        <v>2</v>
      </c>
      <c r="B16" s="16">
        <v>14.66</v>
      </c>
      <c r="C16" s="16">
        <v>1.6</v>
      </c>
      <c r="D16" s="16">
        <v>1</v>
      </c>
      <c r="E16" s="22">
        <f>D16*C16*B16</f>
        <v>23.456000000000003</v>
      </c>
      <c r="G16" s="5"/>
      <c r="H16" s="4"/>
    </row>
    <row r="17" spans="1:8" ht="13.5" thickBot="1">
      <c r="A17" s="25"/>
      <c r="B17" s="19"/>
      <c r="C17" s="19"/>
      <c r="D17" s="19"/>
      <c r="E17" s="20">
        <f>E15+E16</f>
        <v>440.224</v>
      </c>
      <c r="G17" s="4"/>
      <c r="H17" s="4"/>
    </row>
    <row r="19" ht="12.75">
      <c r="B19" t="s">
        <v>15</v>
      </c>
    </row>
    <row r="20" ht="12.75">
      <c r="B20" t="s">
        <v>18</v>
      </c>
    </row>
    <row r="21" ht="12.75">
      <c r="B21" t="s">
        <v>19</v>
      </c>
    </row>
    <row r="23" ht="12.75">
      <c r="B23" t="s">
        <v>20</v>
      </c>
    </row>
    <row r="25" ht="12.75">
      <c r="B25" s="28" t="s">
        <v>17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2.875" style="0" customWidth="1"/>
    <col min="2" max="2" width="22.25390625" style="0" customWidth="1"/>
    <col min="5" max="5" width="10.75390625" style="0" customWidth="1"/>
    <col min="6" max="6" width="11.375" style="0" customWidth="1"/>
    <col min="7" max="7" width="14.75390625" style="0" customWidth="1"/>
  </cols>
  <sheetData>
    <row r="1" ht="12.75">
      <c r="B1" t="s">
        <v>429</v>
      </c>
    </row>
    <row r="2" spans="1:7" ht="15">
      <c r="A2" s="351" t="s">
        <v>16</v>
      </c>
      <c r="B2" s="347"/>
      <c r="C2" s="347"/>
      <c r="D2" s="347"/>
      <c r="E2" s="347"/>
      <c r="F2" s="347"/>
      <c r="G2" s="347"/>
    </row>
    <row r="3" spans="2:7" ht="13.5" thickBot="1">
      <c r="B3" s="4"/>
      <c r="C3" s="4"/>
      <c r="D3" s="4"/>
      <c r="E3" s="4"/>
      <c r="F3" s="4"/>
      <c r="G3" s="4"/>
    </row>
    <row r="4" spans="1:7" ht="38.25">
      <c r="A4" s="23" t="s">
        <v>4</v>
      </c>
      <c r="B4" s="10" t="s">
        <v>1</v>
      </c>
      <c r="C4" s="10" t="s">
        <v>2</v>
      </c>
      <c r="D4" s="11" t="s">
        <v>0</v>
      </c>
      <c r="E4" s="12" t="s">
        <v>3</v>
      </c>
      <c r="F4" s="13" t="s">
        <v>7</v>
      </c>
      <c r="G4" s="14" t="s">
        <v>21</v>
      </c>
    </row>
    <row r="5" spans="1:7" ht="12.75">
      <c r="A5" s="24">
        <v>1</v>
      </c>
      <c r="B5" s="1" t="s">
        <v>5</v>
      </c>
      <c r="C5" s="16" t="s">
        <v>6</v>
      </c>
      <c r="D5" s="16">
        <v>1</v>
      </c>
      <c r="E5" s="16">
        <v>0.11</v>
      </c>
      <c r="F5" s="16">
        <v>56.37</v>
      </c>
      <c r="G5" s="17">
        <f>E5*F5</f>
        <v>6.200699999999999</v>
      </c>
    </row>
    <row r="6" spans="1:7" ht="12.75">
      <c r="A6" s="24">
        <v>2</v>
      </c>
      <c r="B6" s="8" t="s">
        <v>11</v>
      </c>
      <c r="C6" s="18" t="s">
        <v>10</v>
      </c>
      <c r="D6" s="18">
        <v>2</v>
      </c>
      <c r="E6" s="16">
        <v>0.03</v>
      </c>
      <c r="F6" s="16">
        <v>56.37</v>
      </c>
      <c r="G6" s="17">
        <f>E6*F6</f>
        <v>1.6910999999999998</v>
      </c>
    </row>
    <row r="7" spans="1:7" ht="13.5" thickBot="1">
      <c r="A7" s="25"/>
      <c r="B7" s="2"/>
      <c r="C7" s="19"/>
      <c r="D7" s="19"/>
      <c r="E7" s="19"/>
      <c r="F7" s="19"/>
      <c r="G7" s="20">
        <f>G5+G6</f>
        <v>7.891799999999999</v>
      </c>
    </row>
    <row r="8" spans="1:7" ht="13.5" thickBot="1">
      <c r="A8" s="3"/>
      <c r="B8" s="4"/>
      <c r="C8" s="4"/>
      <c r="D8" s="4"/>
      <c r="E8" s="4"/>
      <c r="F8" s="4"/>
      <c r="G8" s="7"/>
    </row>
    <row r="9" spans="1:7" ht="38.25">
      <c r="A9" s="23" t="s">
        <v>4</v>
      </c>
      <c r="B9" s="10" t="s">
        <v>1</v>
      </c>
      <c r="C9" s="10" t="s">
        <v>2</v>
      </c>
      <c r="D9" s="11" t="s">
        <v>0</v>
      </c>
      <c r="E9" s="12" t="s">
        <v>3</v>
      </c>
      <c r="F9" s="13" t="s">
        <v>7</v>
      </c>
      <c r="G9" s="14" t="s">
        <v>21</v>
      </c>
    </row>
    <row r="10" spans="1:7" ht="12.75">
      <c r="A10" s="24">
        <v>1</v>
      </c>
      <c r="B10" s="9" t="s">
        <v>8</v>
      </c>
      <c r="C10" s="16" t="s">
        <v>6</v>
      </c>
      <c r="D10" s="16">
        <v>1</v>
      </c>
      <c r="E10" s="16">
        <v>0.16</v>
      </c>
      <c r="F10" s="16">
        <v>56.37</v>
      </c>
      <c r="G10" s="17">
        <f>E10*F10</f>
        <v>9.0192</v>
      </c>
    </row>
    <row r="11" spans="1:7" ht="13.5" thickBot="1">
      <c r="A11" s="25"/>
      <c r="B11" s="2"/>
      <c r="C11" s="19"/>
      <c r="D11" s="19"/>
      <c r="E11" s="19"/>
      <c r="F11" s="19"/>
      <c r="G11" s="20">
        <v>9.02</v>
      </c>
    </row>
    <row r="12" spans="1:7" ht="13.5" thickBot="1">
      <c r="A12" s="3"/>
      <c r="B12" s="4"/>
      <c r="C12" s="4"/>
      <c r="D12" s="4"/>
      <c r="E12" s="4"/>
      <c r="F12" s="4"/>
      <c r="G12" s="4"/>
    </row>
    <row r="13" spans="1:7" ht="51">
      <c r="A13" s="23" t="s">
        <v>4</v>
      </c>
      <c r="B13" s="14" t="s">
        <v>21</v>
      </c>
      <c r="C13" s="10" t="s">
        <v>12</v>
      </c>
      <c r="D13" s="12" t="s">
        <v>14</v>
      </c>
      <c r="E13" s="15" t="s">
        <v>13</v>
      </c>
      <c r="G13" s="4"/>
    </row>
    <row r="14" spans="1:7" ht="12.75">
      <c r="A14" s="24">
        <v>1</v>
      </c>
      <c r="B14" s="16">
        <v>7.89</v>
      </c>
      <c r="C14" s="16">
        <v>1.6</v>
      </c>
      <c r="D14" s="16">
        <v>22</v>
      </c>
      <c r="E14" s="29">
        <f>B14*C14*D14</f>
        <v>277.728</v>
      </c>
      <c r="G14" s="4"/>
    </row>
    <row r="15" spans="1:7" ht="12.75">
      <c r="A15" s="24">
        <v>2</v>
      </c>
      <c r="B15" s="16">
        <v>9.02</v>
      </c>
      <c r="C15" s="16">
        <v>1.6</v>
      </c>
      <c r="D15" s="16">
        <v>1</v>
      </c>
      <c r="E15" s="22">
        <f>D15*C15*B15</f>
        <v>14.432</v>
      </c>
      <c r="G15" s="5"/>
    </row>
    <row r="16" spans="1:7" ht="13.5" thickBot="1">
      <c r="A16" s="25"/>
      <c r="B16" s="19"/>
      <c r="C16" s="19"/>
      <c r="D16" s="19"/>
      <c r="E16" s="20">
        <f>E14+E15</f>
        <v>292.16</v>
      </c>
      <c r="G16" s="4"/>
    </row>
    <row r="18" ht="12.75">
      <c r="B18" t="s">
        <v>15</v>
      </c>
    </row>
    <row r="19" ht="12.75">
      <c r="B19" t="s">
        <v>18</v>
      </c>
    </row>
    <row r="20" ht="12.75">
      <c r="B20" t="s">
        <v>22</v>
      </c>
    </row>
    <row r="21" ht="12.75">
      <c r="B21" t="s">
        <v>23</v>
      </c>
    </row>
    <row r="22" ht="12.75">
      <c r="B22" s="28" t="s">
        <v>24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D3"/>
    </sheetView>
  </sheetViews>
  <sheetFormatPr defaultColWidth="9.00390625" defaultRowHeight="12.75"/>
  <cols>
    <col min="1" max="1" width="6.625" style="0" customWidth="1"/>
    <col min="2" max="2" width="22.25390625" style="0" customWidth="1"/>
    <col min="3" max="3" width="29.75390625" style="0" customWidth="1"/>
    <col min="4" max="4" width="20.875" style="0" customWidth="1"/>
  </cols>
  <sheetData>
    <row r="1" spans="1:5" ht="15">
      <c r="A1" s="346" t="s">
        <v>25</v>
      </c>
      <c r="B1" s="346"/>
      <c r="C1" s="346"/>
      <c r="D1" s="346"/>
      <c r="E1" s="30"/>
    </row>
    <row r="2" spans="1:5" ht="15">
      <c r="A2" s="346" t="s">
        <v>26</v>
      </c>
      <c r="B2" s="346"/>
      <c r="C2" s="346"/>
      <c r="D2" s="346"/>
      <c r="E2" s="30"/>
    </row>
    <row r="3" spans="1:5" ht="24" customHeight="1">
      <c r="A3" s="346" t="s">
        <v>39</v>
      </c>
      <c r="B3" s="346"/>
      <c r="C3" s="346"/>
      <c r="D3" s="346"/>
      <c r="E3" s="30"/>
    </row>
    <row r="4" spans="1:5" ht="15">
      <c r="A4" s="30"/>
      <c r="B4" s="30"/>
      <c r="C4" s="30"/>
      <c r="D4" s="30"/>
      <c r="E4" s="30"/>
    </row>
    <row r="5" spans="1:5" ht="15">
      <c r="A5" s="30"/>
      <c r="B5" s="30"/>
      <c r="C5" s="30"/>
      <c r="D5" s="30"/>
      <c r="E5" s="30"/>
    </row>
    <row r="6" spans="1:5" ht="18">
      <c r="A6" s="354" t="s">
        <v>27</v>
      </c>
      <c r="B6" s="355"/>
      <c r="C6" s="355"/>
      <c r="D6" s="355"/>
      <c r="E6" s="32"/>
    </row>
    <row r="7" spans="1:5" ht="15.75">
      <c r="A7" s="345" t="s">
        <v>34</v>
      </c>
      <c r="B7" s="345"/>
      <c r="C7" s="345"/>
      <c r="D7" s="345"/>
      <c r="E7" s="32"/>
    </row>
    <row r="8" spans="1:5" ht="15.75">
      <c r="A8" s="345" t="s">
        <v>35</v>
      </c>
      <c r="B8" s="353"/>
      <c r="C8" s="353"/>
      <c r="D8" s="353"/>
      <c r="E8" s="32"/>
    </row>
    <row r="9" spans="1:5" ht="15.75">
      <c r="A9" s="31"/>
      <c r="B9" s="32"/>
      <c r="C9" s="32"/>
      <c r="D9" s="32"/>
      <c r="E9" s="32"/>
    </row>
    <row r="10" spans="1:5" ht="16.5" thickBot="1">
      <c r="A10" s="31"/>
      <c r="B10" s="32"/>
      <c r="C10" s="32"/>
      <c r="D10" s="32"/>
      <c r="E10" s="32"/>
    </row>
    <row r="11" spans="1:5" ht="15.75" thickBot="1">
      <c r="A11" s="33" t="s">
        <v>28</v>
      </c>
      <c r="B11" s="34" t="s">
        <v>29</v>
      </c>
      <c r="C11" s="34" t="s">
        <v>27</v>
      </c>
      <c r="D11" s="35" t="s">
        <v>13</v>
      </c>
      <c r="E11" s="36"/>
    </row>
    <row r="12" spans="1:5" ht="15">
      <c r="A12" s="37">
        <v>1</v>
      </c>
      <c r="B12" s="38" t="s">
        <v>30</v>
      </c>
      <c r="C12" s="39" t="s">
        <v>36</v>
      </c>
      <c r="D12" s="40">
        <v>3832.74</v>
      </c>
      <c r="E12" s="36"/>
    </row>
    <row r="13" spans="1:5" ht="15.75" thickBot="1">
      <c r="A13" s="41">
        <v>2</v>
      </c>
      <c r="B13" s="42" t="s">
        <v>31</v>
      </c>
      <c r="C13" s="43" t="s">
        <v>32</v>
      </c>
      <c r="D13" s="44">
        <v>958.18</v>
      </c>
      <c r="E13" s="36"/>
    </row>
    <row r="14" spans="1:5" ht="16.5" thickBot="1">
      <c r="A14" s="33"/>
      <c r="B14" s="45" t="s">
        <v>33</v>
      </c>
      <c r="C14" s="46"/>
      <c r="D14" s="47">
        <f>SUM(D12:D13)</f>
        <v>4790.92</v>
      </c>
      <c r="E14" s="36"/>
    </row>
    <row r="15" spans="1:5" ht="15">
      <c r="A15" s="32"/>
      <c r="B15" s="36"/>
      <c r="C15" s="36"/>
      <c r="D15" s="36"/>
      <c r="E15" s="36"/>
    </row>
    <row r="16" spans="1:5" ht="30" customHeight="1">
      <c r="A16" s="352" t="s">
        <v>37</v>
      </c>
      <c r="B16" s="352"/>
      <c r="C16" s="352"/>
      <c r="D16" s="352"/>
      <c r="E16" s="48"/>
    </row>
    <row r="17" spans="1:5" ht="25.5" customHeight="1">
      <c r="A17" s="48"/>
      <c r="B17" s="48"/>
      <c r="C17" s="48"/>
      <c r="D17" s="48"/>
      <c r="E17" s="48"/>
    </row>
    <row r="18" spans="1:5" ht="15">
      <c r="A18" s="36"/>
      <c r="B18" s="36"/>
      <c r="C18" s="36"/>
      <c r="D18" s="36"/>
      <c r="E18" s="36"/>
    </row>
    <row r="19" spans="1:5" ht="15">
      <c r="A19" s="36" t="s">
        <v>38</v>
      </c>
      <c r="B19" s="36"/>
      <c r="C19" s="36"/>
      <c r="D19" s="36"/>
      <c r="E19" s="36"/>
    </row>
  </sheetData>
  <sheetProtection/>
  <mergeCells count="7">
    <mergeCell ref="A7:D7"/>
    <mergeCell ref="A16:D16"/>
    <mergeCell ref="A8:D8"/>
    <mergeCell ref="A1:D1"/>
    <mergeCell ref="A2:D2"/>
    <mergeCell ref="A3:D3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4"/>
  <sheetViews>
    <sheetView zoomScalePageLayoutView="0" workbookViewId="0" topLeftCell="B4">
      <selection activeCell="A247" sqref="A247:J262"/>
    </sheetView>
  </sheetViews>
  <sheetFormatPr defaultColWidth="9.00390625" defaultRowHeight="12.75"/>
  <cols>
    <col min="1" max="1" width="5.625" style="0" customWidth="1"/>
    <col min="2" max="2" width="33.375" style="0" customWidth="1"/>
    <col min="3" max="3" width="12.75390625" style="0" customWidth="1"/>
    <col min="4" max="5" width="12.25390625" style="0" customWidth="1"/>
    <col min="6" max="6" width="12.875" style="0" customWidth="1"/>
    <col min="7" max="7" width="13.00390625" style="0" customWidth="1"/>
    <col min="9" max="9" width="13.875" style="0" customWidth="1"/>
    <col min="10" max="10" width="13.25390625" style="0" customWidth="1"/>
  </cols>
  <sheetData>
    <row r="1" spans="1:6" ht="15.75">
      <c r="A1" s="370" t="s">
        <v>47</v>
      </c>
      <c r="B1" s="370"/>
      <c r="C1" s="370"/>
      <c r="D1" s="370"/>
      <c r="E1" s="370"/>
      <c r="F1" s="370"/>
    </row>
    <row r="2" spans="1:6" ht="15.75">
      <c r="A2" s="345" t="s">
        <v>48</v>
      </c>
      <c r="B2" s="345"/>
      <c r="C2" s="345"/>
      <c r="D2" s="345"/>
      <c r="E2" s="345"/>
      <c r="F2" s="345"/>
    </row>
    <row r="3" spans="1:6" ht="13.5" thickBot="1">
      <c r="A3" s="50"/>
      <c r="B3" s="50"/>
      <c r="C3" s="50"/>
      <c r="D3" s="50"/>
      <c r="E3" s="50"/>
      <c r="F3" s="50"/>
    </row>
    <row r="4" spans="1:6" ht="13.5" thickBot="1">
      <c r="A4" s="52" t="s">
        <v>28</v>
      </c>
      <c r="B4" s="58" t="s">
        <v>42</v>
      </c>
      <c r="C4" s="63" t="s">
        <v>63</v>
      </c>
      <c r="D4" s="58" t="s">
        <v>43</v>
      </c>
      <c r="E4" s="63" t="s">
        <v>44</v>
      </c>
      <c r="F4" s="58" t="s">
        <v>45</v>
      </c>
    </row>
    <row r="5" spans="1:6" ht="12.75">
      <c r="A5" s="53">
        <v>1</v>
      </c>
      <c r="B5" s="59" t="s">
        <v>46</v>
      </c>
      <c r="C5" s="64" t="s">
        <v>64</v>
      </c>
      <c r="D5" s="68" t="s">
        <v>67</v>
      </c>
      <c r="E5" s="73" t="s">
        <v>69</v>
      </c>
      <c r="F5" s="68">
        <v>18.2</v>
      </c>
    </row>
    <row r="6" spans="1:6" ht="12.75">
      <c r="A6" s="54" t="s">
        <v>49</v>
      </c>
      <c r="B6" s="60" t="s">
        <v>52</v>
      </c>
      <c r="C6" s="65" t="s">
        <v>64</v>
      </c>
      <c r="D6" s="69">
        <v>0.6</v>
      </c>
      <c r="E6" s="74">
        <v>0.73</v>
      </c>
      <c r="F6" s="70">
        <v>21.2</v>
      </c>
    </row>
    <row r="7" spans="1:6" ht="12.75">
      <c r="A7" s="54" t="s">
        <v>50</v>
      </c>
      <c r="B7" s="60" t="s">
        <v>53</v>
      </c>
      <c r="C7" s="65" t="s">
        <v>65</v>
      </c>
      <c r="D7" s="70">
        <v>0.45</v>
      </c>
      <c r="E7" s="74">
        <v>0.56</v>
      </c>
      <c r="F7" s="70">
        <v>25</v>
      </c>
    </row>
    <row r="8" spans="1:6" ht="12.75">
      <c r="A8" s="54" t="s">
        <v>51</v>
      </c>
      <c r="B8" s="60" t="s">
        <v>54</v>
      </c>
      <c r="C8" s="65" t="s">
        <v>64</v>
      </c>
      <c r="D8" s="69">
        <v>0.41</v>
      </c>
      <c r="E8" s="75">
        <v>0.47</v>
      </c>
      <c r="F8" s="70">
        <v>15</v>
      </c>
    </row>
    <row r="9" spans="1:6" ht="12.75">
      <c r="A9" s="55" t="s">
        <v>55</v>
      </c>
      <c r="B9" s="61" t="s">
        <v>57</v>
      </c>
      <c r="C9" s="66" t="s">
        <v>64</v>
      </c>
      <c r="D9" s="71">
        <v>1</v>
      </c>
      <c r="E9" s="66">
        <v>1.5</v>
      </c>
      <c r="F9" s="71">
        <v>50</v>
      </c>
    </row>
    <row r="10" spans="1:6" ht="12.75">
      <c r="A10" s="55" t="s">
        <v>56</v>
      </c>
      <c r="B10" s="61" t="s">
        <v>58</v>
      </c>
      <c r="C10" s="66" t="s">
        <v>64</v>
      </c>
      <c r="D10" s="71" t="s">
        <v>68</v>
      </c>
      <c r="E10" s="66" t="s">
        <v>70</v>
      </c>
      <c r="F10" s="71">
        <v>18.2</v>
      </c>
    </row>
    <row r="11" spans="1:6" ht="12.75">
      <c r="A11" s="56">
        <v>4</v>
      </c>
      <c r="B11" s="61" t="s">
        <v>59</v>
      </c>
      <c r="C11" s="66" t="s">
        <v>66</v>
      </c>
      <c r="D11" s="71">
        <v>31.95</v>
      </c>
      <c r="E11" s="66">
        <v>43.17</v>
      </c>
      <c r="F11" s="71">
        <v>35.1</v>
      </c>
    </row>
    <row r="12" spans="1:6" ht="12.75">
      <c r="A12" s="56">
        <v>5</v>
      </c>
      <c r="B12" s="61" t="s">
        <v>60</v>
      </c>
      <c r="C12" s="66" t="s">
        <v>66</v>
      </c>
      <c r="D12" s="71">
        <v>63.41</v>
      </c>
      <c r="E12" s="76">
        <v>76</v>
      </c>
      <c r="F12" s="71">
        <v>19.9</v>
      </c>
    </row>
    <row r="13" spans="1:6" ht="12.75">
      <c r="A13" s="56">
        <v>6</v>
      </c>
      <c r="B13" s="61" t="s">
        <v>61</v>
      </c>
      <c r="C13" s="66" t="s">
        <v>66</v>
      </c>
      <c r="D13" s="71">
        <v>167.42</v>
      </c>
      <c r="E13" s="66">
        <v>207.28</v>
      </c>
      <c r="F13" s="71">
        <v>23.8</v>
      </c>
    </row>
    <row r="14" spans="1:6" ht="13.5" thickBot="1">
      <c r="A14" s="57">
        <v>7</v>
      </c>
      <c r="B14" s="62" t="s">
        <v>62</v>
      </c>
      <c r="C14" s="67" t="s">
        <v>64</v>
      </c>
      <c r="D14" s="72">
        <v>15.15</v>
      </c>
      <c r="E14" s="67">
        <v>18.84</v>
      </c>
      <c r="F14" s="72">
        <v>24.4</v>
      </c>
    </row>
    <row r="15" ht="13.5" thickBot="1">
      <c r="F15" s="49">
        <v>25.08</v>
      </c>
    </row>
    <row r="17" spans="1:6" ht="15.75">
      <c r="A17" s="370" t="s">
        <v>47</v>
      </c>
      <c r="B17" s="370"/>
      <c r="C17" s="370"/>
      <c r="D17" s="370"/>
      <c r="E17" s="370"/>
      <c r="F17" s="370"/>
    </row>
    <row r="18" spans="1:6" ht="15.75">
      <c r="A18" s="345" t="s">
        <v>48</v>
      </c>
      <c r="B18" s="345"/>
      <c r="C18" s="345"/>
      <c r="D18" s="345"/>
      <c r="E18" s="345"/>
      <c r="F18" s="345"/>
    </row>
    <row r="19" spans="1:6" ht="15.75">
      <c r="A19" s="371" t="s">
        <v>71</v>
      </c>
      <c r="B19" s="371"/>
      <c r="C19" s="371"/>
      <c r="D19" s="371"/>
      <c r="E19" s="371"/>
      <c r="F19" s="371"/>
    </row>
    <row r="20" spans="1:6" ht="13.5" thickBot="1">
      <c r="A20" s="51"/>
      <c r="B20" s="51"/>
      <c r="C20" s="51"/>
      <c r="D20" s="51"/>
      <c r="E20" s="51"/>
      <c r="F20" s="51"/>
    </row>
    <row r="21" spans="1:6" ht="13.5" thickBot="1">
      <c r="A21" s="52" t="s">
        <v>28</v>
      </c>
      <c r="B21" s="58" t="s">
        <v>42</v>
      </c>
      <c r="C21" s="63" t="s">
        <v>63</v>
      </c>
      <c r="D21" s="58" t="s">
        <v>43</v>
      </c>
      <c r="E21" s="63" t="s">
        <v>44</v>
      </c>
      <c r="F21" s="58" t="s">
        <v>45</v>
      </c>
    </row>
    <row r="22" spans="1:6" ht="12.75">
      <c r="A22" s="53">
        <v>1</v>
      </c>
      <c r="B22" s="59" t="s">
        <v>46</v>
      </c>
      <c r="C22" s="64" t="s">
        <v>64</v>
      </c>
      <c r="D22" s="68">
        <v>6.96</v>
      </c>
      <c r="E22" s="73">
        <v>8.23</v>
      </c>
      <c r="F22" s="68">
        <v>18.2</v>
      </c>
    </row>
    <row r="23" spans="1:6" ht="12.75">
      <c r="A23" s="54" t="s">
        <v>49</v>
      </c>
      <c r="B23" s="60" t="s">
        <v>52</v>
      </c>
      <c r="C23" s="65" t="s">
        <v>64</v>
      </c>
      <c r="D23" s="69">
        <v>0.6</v>
      </c>
      <c r="E23" s="74">
        <v>0.73</v>
      </c>
      <c r="F23" s="70">
        <v>21.2</v>
      </c>
    </row>
    <row r="24" spans="1:6" ht="12.75">
      <c r="A24" s="54" t="s">
        <v>50</v>
      </c>
      <c r="B24" s="60" t="s">
        <v>53</v>
      </c>
      <c r="C24" s="65" t="s">
        <v>65</v>
      </c>
      <c r="D24" s="70">
        <v>0.45</v>
      </c>
      <c r="E24" s="74">
        <v>0.56</v>
      </c>
      <c r="F24" s="70">
        <v>25</v>
      </c>
    </row>
    <row r="25" spans="1:6" ht="12.75">
      <c r="A25" s="54" t="s">
        <v>51</v>
      </c>
      <c r="B25" s="60" t="s">
        <v>54</v>
      </c>
      <c r="C25" s="65" t="s">
        <v>64</v>
      </c>
      <c r="D25" s="69">
        <v>0.41</v>
      </c>
      <c r="E25" s="75">
        <v>0.47</v>
      </c>
      <c r="F25" s="70">
        <v>15</v>
      </c>
    </row>
    <row r="26" spans="1:6" ht="12.75">
      <c r="A26" s="55" t="s">
        <v>55</v>
      </c>
      <c r="B26" s="61" t="s">
        <v>57</v>
      </c>
      <c r="C26" s="66" t="s">
        <v>64</v>
      </c>
      <c r="D26" s="71">
        <v>1</v>
      </c>
      <c r="E26" s="66">
        <v>1.5</v>
      </c>
      <c r="F26" s="71">
        <v>50</v>
      </c>
    </row>
    <row r="27" spans="1:6" ht="12.75">
      <c r="A27" s="55" t="s">
        <v>56</v>
      </c>
      <c r="B27" s="61" t="s">
        <v>58</v>
      </c>
      <c r="C27" s="66" t="s">
        <v>64</v>
      </c>
      <c r="D27" s="71">
        <v>3.42</v>
      </c>
      <c r="E27" s="66">
        <v>4.04</v>
      </c>
      <c r="F27" s="71">
        <v>18.2</v>
      </c>
    </row>
    <row r="28" spans="1:6" ht="12.75">
      <c r="A28" s="56">
        <v>4</v>
      </c>
      <c r="B28" s="61" t="s">
        <v>59</v>
      </c>
      <c r="C28" s="66" t="s">
        <v>66</v>
      </c>
      <c r="D28" s="71">
        <v>31.95</v>
      </c>
      <c r="E28" s="66">
        <v>43.17</v>
      </c>
      <c r="F28" s="71">
        <v>35.1</v>
      </c>
    </row>
    <row r="29" spans="1:6" ht="12.75">
      <c r="A29" s="56">
        <v>5</v>
      </c>
      <c r="B29" s="61" t="s">
        <v>60</v>
      </c>
      <c r="C29" s="66" t="s">
        <v>66</v>
      </c>
      <c r="D29" s="71">
        <v>63.41</v>
      </c>
      <c r="E29" s="76">
        <v>76</v>
      </c>
      <c r="F29" s="71">
        <v>19.9</v>
      </c>
    </row>
    <row r="30" spans="1:6" ht="12.75">
      <c r="A30" s="56">
        <v>6</v>
      </c>
      <c r="B30" s="61" t="s">
        <v>61</v>
      </c>
      <c r="C30" s="66" t="s">
        <v>66</v>
      </c>
      <c r="D30" s="71">
        <v>167.42</v>
      </c>
      <c r="E30" s="66">
        <v>207.28</v>
      </c>
      <c r="F30" s="71">
        <v>23.8</v>
      </c>
    </row>
    <row r="31" spans="1:6" ht="13.5" thickBot="1">
      <c r="A31" s="57">
        <v>7</v>
      </c>
      <c r="B31" s="62" t="s">
        <v>62</v>
      </c>
      <c r="C31" s="67" t="s">
        <v>64</v>
      </c>
      <c r="D31" s="72">
        <v>15.15</v>
      </c>
      <c r="E31" s="67">
        <v>18.84</v>
      </c>
      <c r="F31" s="72">
        <v>24.4</v>
      </c>
    </row>
    <row r="32" ht="13.5" thickBot="1">
      <c r="F32" s="49">
        <v>25.08</v>
      </c>
    </row>
    <row r="35" spans="1:6" ht="15.75">
      <c r="A35" s="370" t="s">
        <v>47</v>
      </c>
      <c r="B35" s="370"/>
      <c r="C35" s="370"/>
      <c r="D35" s="370"/>
      <c r="E35" s="370"/>
      <c r="F35" s="370"/>
    </row>
    <row r="36" spans="1:6" ht="15.75">
      <c r="A36" s="345" t="s">
        <v>48</v>
      </c>
      <c r="B36" s="345"/>
      <c r="C36" s="345"/>
      <c r="D36" s="345"/>
      <c r="E36" s="345"/>
      <c r="F36" s="345"/>
    </row>
    <row r="37" spans="1:6" ht="15.75">
      <c r="A37" s="371" t="s">
        <v>72</v>
      </c>
      <c r="B37" s="371"/>
      <c r="C37" s="371"/>
      <c r="D37" s="371"/>
      <c r="E37" s="371"/>
      <c r="F37" s="371"/>
    </row>
    <row r="38" ht="13.5" thickBot="1"/>
    <row r="39" spans="1:6" ht="13.5" thickBot="1">
      <c r="A39" s="52" t="s">
        <v>28</v>
      </c>
      <c r="B39" s="58" t="s">
        <v>42</v>
      </c>
      <c r="C39" s="63" t="s">
        <v>63</v>
      </c>
      <c r="D39" s="58" t="s">
        <v>43</v>
      </c>
      <c r="E39" s="63" t="s">
        <v>44</v>
      </c>
      <c r="F39" s="58" t="s">
        <v>45</v>
      </c>
    </row>
    <row r="40" spans="1:6" ht="12.75">
      <c r="A40" s="53">
        <v>1</v>
      </c>
      <c r="B40" s="59" t="s">
        <v>46</v>
      </c>
      <c r="C40" s="64" t="s">
        <v>64</v>
      </c>
      <c r="D40" s="68">
        <v>7.36</v>
      </c>
      <c r="E40" s="73">
        <v>8.7</v>
      </c>
      <c r="F40" s="68">
        <v>18.2</v>
      </c>
    </row>
    <row r="41" spans="1:6" ht="12.75">
      <c r="A41" s="54" t="s">
        <v>49</v>
      </c>
      <c r="B41" s="60" t="s">
        <v>52</v>
      </c>
      <c r="C41" s="65" t="s">
        <v>64</v>
      </c>
      <c r="D41" s="69">
        <v>0.6</v>
      </c>
      <c r="E41" s="74">
        <v>0.73</v>
      </c>
      <c r="F41" s="70">
        <v>21.2</v>
      </c>
    </row>
    <row r="42" spans="1:6" ht="12.75">
      <c r="A42" s="54" t="s">
        <v>50</v>
      </c>
      <c r="B42" s="60" t="s">
        <v>53</v>
      </c>
      <c r="C42" s="65" t="s">
        <v>65</v>
      </c>
      <c r="D42" s="70">
        <v>0.45</v>
      </c>
      <c r="E42" s="74">
        <v>0.56</v>
      </c>
      <c r="F42" s="70">
        <v>25</v>
      </c>
    </row>
    <row r="43" spans="1:6" ht="12.75">
      <c r="A43" s="54" t="s">
        <v>51</v>
      </c>
      <c r="B43" s="60" t="s">
        <v>54</v>
      </c>
      <c r="C43" s="65" t="s">
        <v>64</v>
      </c>
      <c r="D43" s="69">
        <v>0.41</v>
      </c>
      <c r="E43" s="75">
        <v>0.47</v>
      </c>
      <c r="F43" s="70">
        <v>15</v>
      </c>
    </row>
    <row r="44" spans="1:6" ht="12.75">
      <c r="A44" s="55" t="s">
        <v>55</v>
      </c>
      <c r="B44" s="61" t="s">
        <v>57</v>
      </c>
      <c r="C44" s="66" t="s">
        <v>64</v>
      </c>
      <c r="D44" s="71">
        <v>1</v>
      </c>
      <c r="E44" s="66">
        <v>1.5</v>
      </c>
      <c r="F44" s="71">
        <v>50</v>
      </c>
    </row>
    <row r="45" spans="1:6" ht="12.75">
      <c r="A45" s="55" t="s">
        <v>56</v>
      </c>
      <c r="B45" s="61" t="s">
        <v>58</v>
      </c>
      <c r="C45" s="66" t="s">
        <v>64</v>
      </c>
      <c r="D45" s="71">
        <v>3.58</v>
      </c>
      <c r="E45" s="66">
        <v>4.23</v>
      </c>
      <c r="F45" s="71">
        <v>18.2</v>
      </c>
    </row>
    <row r="46" spans="1:6" ht="12.75">
      <c r="A46" s="56">
        <v>4</v>
      </c>
      <c r="B46" s="61" t="s">
        <v>59</v>
      </c>
      <c r="C46" s="66" t="s">
        <v>66</v>
      </c>
      <c r="D46" s="71">
        <v>31.95</v>
      </c>
      <c r="E46" s="66">
        <v>43.17</v>
      </c>
      <c r="F46" s="71">
        <v>35.1</v>
      </c>
    </row>
    <row r="47" spans="1:6" ht="12.75">
      <c r="A47" s="56">
        <v>5</v>
      </c>
      <c r="B47" s="61" t="s">
        <v>60</v>
      </c>
      <c r="C47" s="66" t="s">
        <v>66</v>
      </c>
      <c r="D47" s="71">
        <v>63.41</v>
      </c>
      <c r="E47" s="76">
        <v>76</v>
      </c>
      <c r="F47" s="71">
        <v>19.9</v>
      </c>
    </row>
    <row r="48" spans="1:6" ht="12.75">
      <c r="A48" s="56">
        <v>6</v>
      </c>
      <c r="B48" s="61" t="s">
        <v>61</v>
      </c>
      <c r="C48" s="66" t="s">
        <v>66</v>
      </c>
      <c r="D48" s="71">
        <v>167.42</v>
      </c>
      <c r="E48" s="66">
        <v>207.28</v>
      </c>
      <c r="F48" s="71">
        <v>23.8</v>
      </c>
    </row>
    <row r="49" spans="1:6" ht="13.5" thickBot="1">
      <c r="A49" s="57">
        <v>7</v>
      </c>
      <c r="B49" s="62" t="s">
        <v>62</v>
      </c>
      <c r="C49" s="67" t="s">
        <v>64</v>
      </c>
      <c r="D49" s="72">
        <v>15.15</v>
      </c>
      <c r="E49" s="67">
        <v>18.84</v>
      </c>
      <c r="F49" s="72">
        <v>24.4</v>
      </c>
    </row>
    <row r="50" ht="13.5" thickBot="1">
      <c r="F50" s="49">
        <v>25.08</v>
      </c>
    </row>
    <row r="55" spans="1:6" ht="20.25">
      <c r="A55" s="376" t="s">
        <v>73</v>
      </c>
      <c r="B55" s="376"/>
      <c r="C55" s="376"/>
      <c r="D55" s="376"/>
      <c r="E55" s="376"/>
      <c r="F55" s="376"/>
    </row>
    <row r="56" spans="1:6" ht="20.25">
      <c r="A56" s="77"/>
      <c r="B56" s="77"/>
      <c r="C56" s="77"/>
      <c r="D56" s="77"/>
      <c r="E56" s="77"/>
      <c r="F56" s="77"/>
    </row>
    <row r="57" spans="1:6" ht="40.5" customHeight="1">
      <c r="A57" s="377" t="s">
        <v>74</v>
      </c>
      <c r="B57" s="377"/>
      <c r="C57" s="377"/>
      <c r="D57" s="377"/>
      <c r="E57" s="377"/>
      <c r="F57" s="377"/>
    </row>
    <row r="58" ht="19.5" customHeight="1"/>
    <row r="59" spans="1:6" ht="15.75">
      <c r="A59" s="370" t="s">
        <v>47</v>
      </c>
      <c r="B59" s="370"/>
      <c r="C59" s="370"/>
      <c r="D59" s="370"/>
      <c r="E59" s="370"/>
      <c r="F59" s="370"/>
    </row>
    <row r="60" spans="1:6" ht="15.75">
      <c r="A60" s="345" t="s">
        <v>48</v>
      </c>
      <c r="B60" s="345"/>
      <c r="C60" s="345"/>
      <c r="D60" s="345"/>
      <c r="E60" s="345"/>
      <c r="F60" s="345"/>
    </row>
    <row r="61" spans="1:6" ht="15.75">
      <c r="A61" s="371" t="s">
        <v>71</v>
      </c>
      <c r="B61" s="371"/>
      <c r="C61" s="371"/>
      <c r="D61" s="371"/>
      <c r="E61" s="371"/>
      <c r="F61" s="371"/>
    </row>
    <row r="62" spans="1:6" ht="13.5" thickBot="1">
      <c r="A62" s="51"/>
      <c r="B62" s="51"/>
      <c r="C62" s="51"/>
      <c r="D62" s="51"/>
      <c r="E62" s="51"/>
      <c r="F62" s="51"/>
    </row>
    <row r="63" spans="1:6" ht="13.5" thickBot="1">
      <c r="A63" s="52" t="s">
        <v>28</v>
      </c>
      <c r="B63" s="58" t="s">
        <v>42</v>
      </c>
      <c r="C63" s="63" t="s">
        <v>63</v>
      </c>
      <c r="D63" s="58" t="s">
        <v>43</v>
      </c>
      <c r="E63" s="63" t="s">
        <v>44</v>
      </c>
      <c r="F63" s="58" t="s">
        <v>45</v>
      </c>
    </row>
    <row r="64" spans="1:6" ht="12.75">
      <c r="A64" s="53">
        <v>1</v>
      </c>
      <c r="B64" s="59" t="s">
        <v>46</v>
      </c>
      <c r="C64" s="64" t="s">
        <v>64</v>
      </c>
      <c r="D64" s="68">
        <v>6.96</v>
      </c>
      <c r="E64" s="73">
        <v>8.23</v>
      </c>
      <c r="F64" s="68">
        <v>18.2</v>
      </c>
    </row>
    <row r="65" spans="1:6" ht="12.75">
      <c r="A65" s="54" t="s">
        <v>49</v>
      </c>
      <c r="B65" s="60" t="s">
        <v>52</v>
      </c>
      <c r="C65" s="65" t="s">
        <v>64</v>
      </c>
      <c r="D65" s="69">
        <v>0.6</v>
      </c>
      <c r="E65" s="74">
        <v>0.73</v>
      </c>
      <c r="F65" s="70">
        <v>21.2</v>
      </c>
    </row>
    <row r="66" spans="1:6" ht="12.75">
      <c r="A66" s="54" t="s">
        <v>50</v>
      </c>
      <c r="B66" s="60" t="s">
        <v>53</v>
      </c>
      <c r="C66" s="65" t="s">
        <v>65</v>
      </c>
      <c r="D66" s="70">
        <v>0.45</v>
      </c>
      <c r="E66" s="74">
        <v>0.56</v>
      </c>
      <c r="F66" s="70">
        <v>25</v>
      </c>
    </row>
    <row r="67" spans="1:6" ht="12.75">
      <c r="A67" s="54" t="s">
        <v>51</v>
      </c>
      <c r="B67" s="60" t="s">
        <v>54</v>
      </c>
      <c r="C67" s="65" t="s">
        <v>64</v>
      </c>
      <c r="D67" s="69">
        <v>0.41</v>
      </c>
      <c r="E67" s="75">
        <v>0.47</v>
      </c>
      <c r="F67" s="70">
        <v>15</v>
      </c>
    </row>
    <row r="68" spans="1:6" ht="12.75">
      <c r="A68" s="55" t="s">
        <v>55</v>
      </c>
      <c r="B68" s="61" t="s">
        <v>57</v>
      </c>
      <c r="C68" s="66" t="s">
        <v>64</v>
      </c>
      <c r="D68" s="71">
        <v>1</v>
      </c>
      <c r="E68" s="66">
        <v>1.5</v>
      </c>
      <c r="F68" s="71">
        <v>50</v>
      </c>
    </row>
    <row r="69" spans="1:6" ht="12.75">
      <c r="A69" s="55" t="s">
        <v>56</v>
      </c>
      <c r="B69" s="61" t="s">
        <v>58</v>
      </c>
      <c r="C69" s="66" t="s">
        <v>64</v>
      </c>
      <c r="D69" s="71">
        <v>3.42</v>
      </c>
      <c r="E69" s="66">
        <v>4.04</v>
      </c>
      <c r="F69" s="71">
        <v>18.2</v>
      </c>
    </row>
    <row r="70" spans="1:6" ht="12.75">
      <c r="A70" s="56">
        <v>4</v>
      </c>
      <c r="B70" s="61" t="s">
        <v>59</v>
      </c>
      <c r="C70" s="66" t="s">
        <v>66</v>
      </c>
      <c r="D70" s="71">
        <v>31.95</v>
      </c>
      <c r="E70" s="66">
        <v>43.17</v>
      </c>
      <c r="F70" s="71">
        <v>35.1</v>
      </c>
    </row>
    <row r="71" spans="1:6" ht="12.75">
      <c r="A71" s="56">
        <v>5</v>
      </c>
      <c r="B71" s="61" t="s">
        <v>60</v>
      </c>
      <c r="C71" s="66" t="s">
        <v>66</v>
      </c>
      <c r="D71" s="71">
        <v>63.41</v>
      </c>
      <c r="E71" s="76">
        <v>76</v>
      </c>
      <c r="F71" s="71">
        <v>19.9</v>
      </c>
    </row>
    <row r="72" spans="1:6" ht="12.75">
      <c r="A72" s="56">
        <v>6</v>
      </c>
      <c r="B72" s="61" t="s">
        <v>61</v>
      </c>
      <c r="C72" s="66" t="s">
        <v>66</v>
      </c>
      <c r="D72" s="71">
        <v>167.42</v>
      </c>
      <c r="E72" s="66">
        <v>207.28</v>
      </c>
      <c r="F72" s="71">
        <v>23.8</v>
      </c>
    </row>
    <row r="73" spans="1:6" ht="13.5" thickBot="1">
      <c r="A73" s="57">
        <v>7</v>
      </c>
      <c r="B73" s="62" t="s">
        <v>62</v>
      </c>
      <c r="C73" s="67" t="s">
        <v>64</v>
      </c>
      <c r="D73" s="72">
        <v>15.15</v>
      </c>
      <c r="E73" s="67">
        <v>18.84</v>
      </c>
      <c r="F73" s="72">
        <v>24.4</v>
      </c>
    </row>
    <row r="74" ht="13.5" thickBot="1">
      <c r="F74" s="49">
        <v>25.08</v>
      </c>
    </row>
    <row r="76" ht="15">
      <c r="E76" s="36" t="s">
        <v>75</v>
      </c>
    </row>
    <row r="78" spans="1:6" ht="20.25">
      <c r="A78" s="376" t="s">
        <v>73</v>
      </c>
      <c r="B78" s="376"/>
      <c r="C78" s="376"/>
      <c r="D78" s="376"/>
      <c r="E78" s="376"/>
      <c r="F78" s="376"/>
    </row>
    <row r="79" spans="1:6" ht="20.25">
      <c r="A79" s="77"/>
      <c r="B79" s="77"/>
      <c r="C79" s="77"/>
      <c r="D79" s="77"/>
      <c r="E79" s="77"/>
      <c r="F79" s="77"/>
    </row>
    <row r="80" spans="1:6" ht="40.5" customHeight="1">
      <c r="A80" s="377" t="s">
        <v>74</v>
      </c>
      <c r="B80" s="377"/>
      <c r="C80" s="377"/>
      <c r="D80" s="377"/>
      <c r="E80" s="377"/>
      <c r="F80" s="377"/>
    </row>
    <row r="81" ht="19.5" customHeight="1"/>
    <row r="82" spans="1:6" ht="15.75">
      <c r="A82" s="370" t="s">
        <v>47</v>
      </c>
      <c r="B82" s="370"/>
      <c r="C82" s="370"/>
      <c r="D82" s="370"/>
      <c r="E82" s="370"/>
      <c r="F82" s="370"/>
    </row>
    <row r="83" spans="1:6" ht="15.75">
      <c r="A83" s="345" t="s">
        <v>48</v>
      </c>
      <c r="B83" s="345"/>
      <c r="C83" s="345"/>
      <c r="D83" s="345"/>
      <c r="E83" s="345"/>
      <c r="F83" s="345"/>
    </row>
    <row r="84" spans="1:6" ht="15.75">
      <c r="A84" s="371" t="s">
        <v>71</v>
      </c>
      <c r="B84" s="371"/>
      <c r="C84" s="371"/>
      <c r="D84" s="371"/>
      <c r="E84" s="371"/>
      <c r="F84" s="371"/>
    </row>
    <row r="85" spans="1:6" ht="13.5" thickBot="1">
      <c r="A85" s="51"/>
      <c r="B85" s="51"/>
      <c r="C85" s="51"/>
      <c r="D85" s="51"/>
      <c r="E85" s="51"/>
      <c r="F85" s="51"/>
    </row>
    <row r="86" spans="1:6" ht="13.5" thickBot="1">
      <c r="A86" s="52" t="s">
        <v>28</v>
      </c>
      <c r="B86" s="58" t="s">
        <v>42</v>
      </c>
      <c r="C86" s="63" t="s">
        <v>63</v>
      </c>
      <c r="D86" s="58" t="s">
        <v>43</v>
      </c>
      <c r="E86" s="63" t="s">
        <v>44</v>
      </c>
      <c r="F86" s="58" t="s">
        <v>45</v>
      </c>
    </row>
    <row r="87" spans="1:6" ht="12.75">
      <c r="A87" s="53">
        <v>1</v>
      </c>
      <c r="B87" s="59" t="s">
        <v>46</v>
      </c>
      <c r="C87" s="64" t="s">
        <v>64</v>
      </c>
      <c r="D87" s="68">
        <v>6.96</v>
      </c>
      <c r="E87" s="73">
        <v>8.23</v>
      </c>
      <c r="F87" s="68">
        <v>18.2</v>
      </c>
    </row>
    <row r="88" spans="1:6" ht="12.75">
      <c r="A88" s="54" t="s">
        <v>49</v>
      </c>
      <c r="B88" s="60" t="s">
        <v>52</v>
      </c>
      <c r="C88" s="65" t="s">
        <v>64</v>
      </c>
      <c r="D88" s="69">
        <v>0.6</v>
      </c>
      <c r="E88" s="74">
        <v>0.73</v>
      </c>
      <c r="F88" s="70">
        <v>21.2</v>
      </c>
    </row>
    <row r="89" spans="1:6" ht="12.75">
      <c r="A89" s="54" t="s">
        <v>50</v>
      </c>
      <c r="B89" s="60" t="s">
        <v>53</v>
      </c>
      <c r="C89" s="65" t="s">
        <v>65</v>
      </c>
      <c r="D89" s="70">
        <v>0.45</v>
      </c>
      <c r="E89" s="74">
        <v>0.56</v>
      </c>
      <c r="F89" s="70">
        <v>25</v>
      </c>
    </row>
    <row r="90" spans="1:6" ht="12.75">
      <c r="A90" s="54" t="s">
        <v>51</v>
      </c>
      <c r="B90" s="60" t="s">
        <v>54</v>
      </c>
      <c r="C90" s="65" t="s">
        <v>64</v>
      </c>
      <c r="D90" s="69">
        <v>0.41</v>
      </c>
      <c r="E90" s="75">
        <v>0.47</v>
      </c>
      <c r="F90" s="70">
        <v>15</v>
      </c>
    </row>
    <row r="91" spans="1:6" ht="12.75">
      <c r="A91" s="55" t="s">
        <v>55</v>
      </c>
      <c r="B91" s="61" t="s">
        <v>57</v>
      </c>
      <c r="C91" s="66" t="s">
        <v>64</v>
      </c>
      <c r="D91" s="71">
        <v>1</v>
      </c>
      <c r="E91" s="66">
        <v>1.5</v>
      </c>
      <c r="F91" s="71">
        <v>50</v>
      </c>
    </row>
    <row r="92" spans="1:6" ht="12.75">
      <c r="A92" s="55" t="s">
        <v>56</v>
      </c>
      <c r="B92" s="61" t="s">
        <v>58</v>
      </c>
      <c r="C92" s="66" t="s">
        <v>64</v>
      </c>
      <c r="D92" s="71">
        <v>3.42</v>
      </c>
      <c r="E92" s="66">
        <v>4.04</v>
      </c>
      <c r="F92" s="71">
        <v>18.2</v>
      </c>
    </row>
    <row r="93" spans="1:6" ht="12.75">
      <c r="A93" s="56">
        <v>4</v>
      </c>
      <c r="B93" s="61" t="s">
        <v>59</v>
      </c>
      <c r="C93" s="66" t="s">
        <v>66</v>
      </c>
      <c r="D93" s="71">
        <v>31.95</v>
      </c>
      <c r="E93" s="66">
        <v>43.17</v>
      </c>
      <c r="F93" s="71">
        <v>35.1</v>
      </c>
    </row>
    <row r="94" spans="1:6" ht="12.75">
      <c r="A94" s="56">
        <v>5</v>
      </c>
      <c r="B94" s="61" t="s">
        <v>60</v>
      </c>
      <c r="C94" s="66" t="s">
        <v>66</v>
      </c>
      <c r="D94" s="71">
        <v>63.41</v>
      </c>
      <c r="E94" s="76">
        <v>76</v>
      </c>
      <c r="F94" s="71">
        <v>19.9</v>
      </c>
    </row>
    <row r="95" spans="1:6" ht="12.75">
      <c r="A95" s="56">
        <v>6</v>
      </c>
      <c r="B95" s="61" t="s">
        <v>61</v>
      </c>
      <c r="C95" s="66" t="s">
        <v>66</v>
      </c>
      <c r="D95" s="71">
        <v>167.42</v>
      </c>
      <c r="E95" s="66">
        <v>207.28</v>
      </c>
      <c r="F95" s="71">
        <v>23.8</v>
      </c>
    </row>
    <row r="96" spans="1:6" ht="13.5" thickBot="1">
      <c r="A96" s="57">
        <v>7</v>
      </c>
      <c r="B96" s="62" t="s">
        <v>62</v>
      </c>
      <c r="C96" s="67" t="s">
        <v>64</v>
      </c>
      <c r="D96" s="72">
        <v>15.15</v>
      </c>
      <c r="E96" s="67">
        <v>18.84</v>
      </c>
      <c r="F96" s="72">
        <v>24.4</v>
      </c>
    </row>
    <row r="97" ht="13.5" thickBot="1">
      <c r="F97" s="49">
        <v>25.08</v>
      </c>
    </row>
    <row r="98" ht="12.75">
      <c r="F98" s="78"/>
    </row>
    <row r="99" spans="5:6" ht="15">
      <c r="E99" s="36" t="s">
        <v>75</v>
      </c>
      <c r="F99" s="78"/>
    </row>
    <row r="100" spans="5:6" ht="15">
      <c r="E100" s="36"/>
      <c r="F100" s="78"/>
    </row>
    <row r="101" spans="1:6" ht="20.25">
      <c r="A101" s="376" t="s">
        <v>73</v>
      </c>
      <c r="B101" s="376"/>
      <c r="C101" s="376"/>
      <c r="D101" s="376"/>
      <c r="E101" s="376"/>
      <c r="F101" s="376"/>
    </row>
    <row r="102" spans="1:6" ht="20.25">
      <c r="A102" s="77"/>
      <c r="B102" s="77"/>
      <c r="C102" s="77"/>
      <c r="D102" s="77"/>
      <c r="E102" s="77"/>
      <c r="F102" s="77"/>
    </row>
    <row r="103" spans="1:6" ht="40.5" customHeight="1">
      <c r="A103" s="377" t="s">
        <v>74</v>
      </c>
      <c r="B103" s="377"/>
      <c r="C103" s="377"/>
      <c r="D103" s="377"/>
      <c r="E103" s="377"/>
      <c r="F103" s="377"/>
    </row>
    <row r="105" spans="1:6" ht="15.75">
      <c r="A105" s="370" t="s">
        <v>47</v>
      </c>
      <c r="B105" s="370"/>
      <c r="C105" s="370"/>
      <c r="D105" s="370"/>
      <c r="E105" s="370"/>
      <c r="F105" s="370"/>
    </row>
    <row r="106" spans="1:6" ht="15.75">
      <c r="A106" s="345" t="s">
        <v>48</v>
      </c>
      <c r="B106" s="345"/>
      <c r="C106" s="345"/>
      <c r="D106" s="345"/>
      <c r="E106" s="345"/>
      <c r="F106" s="345"/>
    </row>
    <row r="107" spans="1:6" ht="15.75">
      <c r="A107" s="371" t="s">
        <v>72</v>
      </c>
      <c r="B107" s="371"/>
      <c r="C107" s="371"/>
      <c r="D107" s="371"/>
      <c r="E107" s="371"/>
      <c r="F107" s="371"/>
    </row>
    <row r="108" ht="13.5" thickBot="1"/>
    <row r="109" spans="1:6" ht="13.5" thickBot="1">
      <c r="A109" s="52" t="s">
        <v>28</v>
      </c>
      <c r="B109" s="58" t="s">
        <v>42</v>
      </c>
      <c r="C109" s="63" t="s">
        <v>63</v>
      </c>
      <c r="D109" s="58" t="s">
        <v>43</v>
      </c>
      <c r="E109" s="63" t="s">
        <v>44</v>
      </c>
      <c r="F109" s="58" t="s">
        <v>45</v>
      </c>
    </row>
    <row r="110" spans="1:6" ht="12.75">
      <c r="A110" s="53">
        <v>1</v>
      </c>
      <c r="B110" s="59" t="s">
        <v>46</v>
      </c>
      <c r="C110" s="64" t="s">
        <v>64</v>
      </c>
      <c r="D110" s="68">
        <v>7.36</v>
      </c>
      <c r="E110" s="73">
        <v>8.7</v>
      </c>
      <c r="F110" s="68">
        <v>18.2</v>
      </c>
    </row>
    <row r="111" spans="1:6" ht="12.75">
      <c r="A111" s="54" t="s">
        <v>49</v>
      </c>
      <c r="B111" s="60" t="s">
        <v>52</v>
      </c>
      <c r="C111" s="65" t="s">
        <v>64</v>
      </c>
      <c r="D111" s="69">
        <v>0.6</v>
      </c>
      <c r="E111" s="74">
        <v>0.73</v>
      </c>
      <c r="F111" s="70">
        <v>21.2</v>
      </c>
    </row>
    <row r="112" spans="1:6" ht="12.75">
      <c r="A112" s="54" t="s">
        <v>50</v>
      </c>
      <c r="B112" s="60" t="s">
        <v>53</v>
      </c>
      <c r="C112" s="65" t="s">
        <v>65</v>
      </c>
      <c r="D112" s="70">
        <v>0.45</v>
      </c>
      <c r="E112" s="74">
        <v>0.56</v>
      </c>
      <c r="F112" s="70">
        <v>25</v>
      </c>
    </row>
    <row r="113" spans="1:6" ht="12.75">
      <c r="A113" s="54" t="s">
        <v>51</v>
      </c>
      <c r="B113" s="60" t="s">
        <v>54</v>
      </c>
      <c r="C113" s="65" t="s">
        <v>64</v>
      </c>
      <c r="D113" s="69">
        <v>0.41</v>
      </c>
      <c r="E113" s="75">
        <v>0.47</v>
      </c>
      <c r="F113" s="70">
        <v>15</v>
      </c>
    </row>
    <row r="114" spans="1:6" ht="12.75">
      <c r="A114" s="55" t="s">
        <v>55</v>
      </c>
      <c r="B114" s="61" t="s">
        <v>57</v>
      </c>
      <c r="C114" s="66" t="s">
        <v>64</v>
      </c>
      <c r="D114" s="71">
        <v>1</v>
      </c>
      <c r="E114" s="66">
        <v>1.5</v>
      </c>
      <c r="F114" s="71">
        <v>50</v>
      </c>
    </row>
    <row r="115" spans="1:6" ht="12.75">
      <c r="A115" s="55" t="s">
        <v>56</v>
      </c>
      <c r="B115" s="61" t="s">
        <v>58</v>
      </c>
      <c r="C115" s="66" t="s">
        <v>64</v>
      </c>
      <c r="D115" s="71">
        <v>3.58</v>
      </c>
      <c r="E115" s="66">
        <v>4.23</v>
      </c>
      <c r="F115" s="71">
        <v>18.2</v>
      </c>
    </row>
    <row r="116" spans="1:6" ht="12.75">
      <c r="A116" s="56">
        <v>4</v>
      </c>
      <c r="B116" s="61" t="s">
        <v>59</v>
      </c>
      <c r="C116" s="66" t="s">
        <v>66</v>
      </c>
      <c r="D116" s="71">
        <v>31.95</v>
      </c>
      <c r="E116" s="66">
        <v>43.17</v>
      </c>
      <c r="F116" s="71">
        <v>35.1</v>
      </c>
    </row>
    <row r="117" spans="1:6" ht="12.75">
      <c r="A117" s="56">
        <v>5</v>
      </c>
      <c r="B117" s="61" t="s">
        <v>60</v>
      </c>
      <c r="C117" s="66" t="s">
        <v>66</v>
      </c>
      <c r="D117" s="71">
        <v>63.41</v>
      </c>
      <c r="E117" s="76">
        <v>76</v>
      </c>
      <c r="F117" s="71">
        <v>19.9</v>
      </c>
    </row>
    <row r="118" spans="1:6" ht="12.75">
      <c r="A118" s="56">
        <v>6</v>
      </c>
      <c r="B118" s="61" t="s">
        <v>61</v>
      </c>
      <c r="C118" s="66" t="s">
        <v>66</v>
      </c>
      <c r="D118" s="71">
        <v>167.42</v>
      </c>
      <c r="E118" s="66">
        <v>207.28</v>
      </c>
      <c r="F118" s="71">
        <v>23.8</v>
      </c>
    </row>
    <row r="119" spans="1:6" ht="13.5" thickBot="1">
      <c r="A119" s="57">
        <v>7</v>
      </c>
      <c r="B119" s="62" t="s">
        <v>62</v>
      </c>
      <c r="C119" s="67" t="s">
        <v>64</v>
      </c>
      <c r="D119" s="72">
        <v>15.15</v>
      </c>
      <c r="E119" s="67">
        <v>18.84</v>
      </c>
      <c r="F119" s="72">
        <v>24.4</v>
      </c>
    </row>
    <row r="120" ht="13.5" thickBot="1">
      <c r="F120" s="49">
        <v>25.08</v>
      </c>
    </row>
    <row r="122" ht="15">
      <c r="E122" s="36" t="s">
        <v>75</v>
      </c>
    </row>
    <row r="125" spans="1:6" ht="20.25">
      <c r="A125" s="376" t="s">
        <v>73</v>
      </c>
      <c r="B125" s="376"/>
      <c r="C125" s="376"/>
      <c r="D125" s="376"/>
      <c r="E125" s="376"/>
      <c r="F125" s="376"/>
    </row>
    <row r="126" spans="1:6" ht="20.25">
      <c r="A126" s="77"/>
      <c r="B126" s="77"/>
      <c r="C126" s="77"/>
      <c r="D126" s="77"/>
      <c r="E126" s="77"/>
      <c r="F126" s="77"/>
    </row>
    <row r="127" spans="1:6" ht="40.5" customHeight="1">
      <c r="A127" s="377" t="s">
        <v>74</v>
      </c>
      <c r="B127" s="377"/>
      <c r="C127" s="377"/>
      <c r="D127" s="377"/>
      <c r="E127" s="377"/>
      <c r="F127" s="377"/>
    </row>
    <row r="129" spans="1:6" ht="15.75">
      <c r="A129" s="370" t="s">
        <v>47</v>
      </c>
      <c r="B129" s="370"/>
      <c r="C129" s="370"/>
      <c r="D129" s="370"/>
      <c r="E129" s="370"/>
      <c r="F129" s="370"/>
    </row>
    <row r="130" spans="1:6" ht="15.75">
      <c r="A130" s="345" t="s">
        <v>48</v>
      </c>
      <c r="B130" s="345"/>
      <c r="C130" s="345"/>
      <c r="D130" s="345"/>
      <c r="E130" s="345"/>
      <c r="F130" s="345"/>
    </row>
    <row r="131" spans="1:6" ht="15.75">
      <c r="A131" s="371" t="s">
        <v>72</v>
      </c>
      <c r="B131" s="371"/>
      <c r="C131" s="371"/>
      <c r="D131" s="371"/>
      <c r="E131" s="371"/>
      <c r="F131" s="371"/>
    </row>
    <row r="132" ht="13.5" thickBot="1"/>
    <row r="133" spans="1:6" ht="13.5" thickBot="1">
      <c r="A133" s="52" t="s">
        <v>28</v>
      </c>
      <c r="B133" s="58" t="s">
        <v>42</v>
      </c>
      <c r="C133" s="63" t="s">
        <v>63</v>
      </c>
      <c r="D133" s="58" t="s">
        <v>43</v>
      </c>
      <c r="E133" s="63" t="s">
        <v>44</v>
      </c>
      <c r="F133" s="58" t="s">
        <v>45</v>
      </c>
    </row>
    <row r="134" spans="1:6" ht="12.75">
      <c r="A134" s="53">
        <v>1</v>
      </c>
      <c r="B134" s="59" t="s">
        <v>46</v>
      </c>
      <c r="C134" s="64" t="s">
        <v>64</v>
      </c>
      <c r="D134" s="68">
        <v>7.36</v>
      </c>
      <c r="E134" s="73">
        <v>8.7</v>
      </c>
      <c r="F134" s="68">
        <v>18.2</v>
      </c>
    </row>
    <row r="135" spans="1:6" ht="12.75">
      <c r="A135" s="54" t="s">
        <v>49</v>
      </c>
      <c r="B135" s="60" t="s">
        <v>52</v>
      </c>
      <c r="C135" s="65" t="s">
        <v>64</v>
      </c>
      <c r="D135" s="69">
        <v>0.6</v>
      </c>
      <c r="E135" s="74">
        <v>0.73</v>
      </c>
      <c r="F135" s="70">
        <v>21.2</v>
      </c>
    </row>
    <row r="136" spans="1:6" ht="12.75">
      <c r="A136" s="54" t="s">
        <v>50</v>
      </c>
      <c r="B136" s="60" t="s">
        <v>53</v>
      </c>
      <c r="C136" s="65" t="s">
        <v>65</v>
      </c>
      <c r="D136" s="70">
        <v>0.45</v>
      </c>
      <c r="E136" s="74">
        <v>0.56</v>
      </c>
      <c r="F136" s="70">
        <v>25</v>
      </c>
    </row>
    <row r="137" spans="1:6" ht="12.75">
      <c r="A137" s="54" t="s">
        <v>51</v>
      </c>
      <c r="B137" s="60" t="s">
        <v>54</v>
      </c>
      <c r="C137" s="65" t="s">
        <v>64</v>
      </c>
      <c r="D137" s="69">
        <v>0.41</v>
      </c>
      <c r="E137" s="75">
        <v>0.47</v>
      </c>
      <c r="F137" s="70">
        <v>15</v>
      </c>
    </row>
    <row r="138" spans="1:6" ht="12.75">
      <c r="A138" s="55" t="s">
        <v>55</v>
      </c>
      <c r="B138" s="61" t="s">
        <v>57</v>
      </c>
      <c r="C138" s="66" t="s">
        <v>64</v>
      </c>
      <c r="D138" s="71">
        <v>1</v>
      </c>
      <c r="E138" s="66">
        <v>1.5</v>
      </c>
      <c r="F138" s="71">
        <v>50</v>
      </c>
    </row>
    <row r="139" spans="1:6" ht="12.75">
      <c r="A139" s="55" t="s">
        <v>56</v>
      </c>
      <c r="B139" s="61" t="s">
        <v>58</v>
      </c>
      <c r="C139" s="66" t="s">
        <v>64</v>
      </c>
      <c r="D139" s="71">
        <v>3.58</v>
      </c>
      <c r="E139" s="66">
        <v>4.23</v>
      </c>
      <c r="F139" s="71">
        <v>18.2</v>
      </c>
    </row>
    <row r="140" spans="1:6" ht="12.75">
      <c r="A140" s="56">
        <v>4</v>
      </c>
      <c r="B140" s="61" t="s">
        <v>59</v>
      </c>
      <c r="C140" s="66" t="s">
        <v>66</v>
      </c>
      <c r="D140" s="71">
        <v>31.95</v>
      </c>
      <c r="E140" s="66">
        <v>43.17</v>
      </c>
      <c r="F140" s="71">
        <v>35.1</v>
      </c>
    </row>
    <row r="141" spans="1:6" ht="12.75">
      <c r="A141" s="56">
        <v>5</v>
      </c>
      <c r="B141" s="61" t="s">
        <v>60</v>
      </c>
      <c r="C141" s="66" t="s">
        <v>66</v>
      </c>
      <c r="D141" s="71">
        <v>63.41</v>
      </c>
      <c r="E141" s="76">
        <v>76</v>
      </c>
      <c r="F141" s="71">
        <v>19.9</v>
      </c>
    </row>
    <row r="142" spans="1:6" ht="12.75">
      <c r="A142" s="56">
        <v>6</v>
      </c>
      <c r="B142" s="61" t="s">
        <v>61</v>
      </c>
      <c r="C142" s="66" t="s">
        <v>66</v>
      </c>
      <c r="D142" s="71">
        <v>167.42</v>
      </c>
      <c r="E142" s="66">
        <v>207.28</v>
      </c>
      <c r="F142" s="71">
        <v>23.8</v>
      </c>
    </row>
    <row r="143" spans="1:6" ht="13.5" thickBot="1">
      <c r="A143" s="57">
        <v>7</v>
      </c>
      <c r="B143" s="62" t="s">
        <v>62</v>
      </c>
      <c r="C143" s="67" t="s">
        <v>64</v>
      </c>
      <c r="D143" s="72">
        <v>15.15</v>
      </c>
      <c r="E143" s="67">
        <v>18.84</v>
      </c>
      <c r="F143" s="72">
        <v>24.4</v>
      </c>
    </row>
    <row r="144" ht="13.5" thickBot="1">
      <c r="F144" s="49">
        <v>25.08</v>
      </c>
    </row>
    <row r="146" ht="15">
      <c r="E146" s="36" t="s">
        <v>75</v>
      </c>
    </row>
    <row r="148" spans="1:6" ht="20.25">
      <c r="A148" s="376" t="s">
        <v>73</v>
      </c>
      <c r="B148" s="376"/>
      <c r="C148" s="376"/>
      <c r="D148" s="376"/>
      <c r="E148" s="376"/>
      <c r="F148" s="376"/>
    </row>
    <row r="149" spans="1:6" ht="20.25">
      <c r="A149" s="77"/>
      <c r="B149" s="77"/>
      <c r="C149" s="77"/>
      <c r="D149" s="77"/>
      <c r="E149" s="77"/>
      <c r="F149" s="77"/>
    </row>
    <row r="150" spans="1:6" ht="40.5" customHeight="1">
      <c r="A150" s="377" t="s">
        <v>74</v>
      </c>
      <c r="B150" s="377"/>
      <c r="C150" s="377"/>
      <c r="D150" s="377"/>
      <c r="E150" s="377"/>
      <c r="F150" s="377"/>
    </row>
    <row r="152" spans="1:6" ht="15.75">
      <c r="A152" s="370" t="s">
        <v>47</v>
      </c>
      <c r="B152" s="370"/>
      <c r="C152" s="370"/>
      <c r="D152" s="370"/>
      <c r="E152" s="370"/>
      <c r="F152" s="370"/>
    </row>
    <row r="153" spans="1:6" ht="15.75">
      <c r="A153" s="345" t="s">
        <v>48</v>
      </c>
      <c r="B153" s="345"/>
      <c r="C153" s="345"/>
      <c r="D153" s="345"/>
      <c r="E153" s="345"/>
      <c r="F153" s="345"/>
    </row>
    <row r="154" spans="1:6" ht="15.75">
      <c r="A154" s="371" t="s">
        <v>72</v>
      </c>
      <c r="B154" s="371"/>
      <c r="C154" s="371"/>
      <c r="D154" s="371"/>
      <c r="E154" s="371"/>
      <c r="F154" s="371"/>
    </row>
    <row r="155" ht="13.5" thickBot="1"/>
    <row r="156" spans="1:6" ht="13.5" thickBot="1">
      <c r="A156" s="52" t="s">
        <v>28</v>
      </c>
      <c r="B156" s="58" t="s">
        <v>42</v>
      </c>
      <c r="C156" s="63" t="s">
        <v>63</v>
      </c>
      <c r="D156" s="58" t="s">
        <v>43</v>
      </c>
      <c r="E156" s="63" t="s">
        <v>44</v>
      </c>
      <c r="F156" s="58" t="s">
        <v>45</v>
      </c>
    </row>
    <row r="157" spans="1:6" ht="12.75">
      <c r="A157" s="53">
        <v>1</v>
      </c>
      <c r="B157" s="59" t="s">
        <v>46</v>
      </c>
      <c r="C157" s="64" t="s">
        <v>64</v>
      </c>
      <c r="D157" s="68">
        <v>7.36</v>
      </c>
      <c r="E157" s="73">
        <v>8.7</v>
      </c>
      <c r="F157" s="68">
        <v>18.2</v>
      </c>
    </row>
    <row r="158" spans="1:6" ht="12.75">
      <c r="A158" s="54" t="s">
        <v>49</v>
      </c>
      <c r="B158" s="60" t="s">
        <v>52</v>
      </c>
      <c r="C158" s="65" t="s">
        <v>64</v>
      </c>
      <c r="D158" s="69">
        <v>0.6</v>
      </c>
      <c r="E158" s="74">
        <v>0.73</v>
      </c>
      <c r="F158" s="70">
        <v>21.2</v>
      </c>
    </row>
    <row r="159" spans="1:6" ht="12.75">
      <c r="A159" s="54" t="s">
        <v>50</v>
      </c>
      <c r="B159" s="60" t="s">
        <v>53</v>
      </c>
      <c r="C159" s="65" t="s">
        <v>65</v>
      </c>
      <c r="D159" s="70">
        <v>0.45</v>
      </c>
      <c r="E159" s="74">
        <v>0.56</v>
      </c>
      <c r="F159" s="70">
        <v>25</v>
      </c>
    </row>
    <row r="160" spans="1:6" ht="12.75">
      <c r="A160" s="54" t="s">
        <v>51</v>
      </c>
      <c r="B160" s="60" t="s">
        <v>54</v>
      </c>
      <c r="C160" s="65" t="s">
        <v>64</v>
      </c>
      <c r="D160" s="69">
        <v>0.41</v>
      </c>
      <c r="E160" s="75">
        <v>0.47</v>
      </c>
      <c r="F160" s="70">
        <v>15</v>
      </c>
    </row>
    <row r="161" spans="1:6" ht="12.75">
      <c r="A161" s="55" t="s">
        <v>55</v>
      </c>
      <c r="B161" s="61" t="s">
        <v>57</v>
      </c>
      <c r="C161" s="66" t="s">
        <v>64</v>
      </c>
      <c r="D161" s="71">
        <v>1</v>
      </c>
      <c r="E161" s="66">
        <v>1.5</v>
      </c>
      <c r="F161" s="71">
        <v>50</v>
      </c>
    </row>
    <row r="162" spans="1:6" ht="25.5" customHeight="1">
      <c r="A162" s="81" t="s">
        <v>56</v>
      </c>
      <c r="B162" s="79" t="s">
        <v>81</v>
      </c>
      <c r="C162" s="80" t="s">
        <v>64</v>
      </c>
      <c r="D162" s="83">
        <v>0.76</v>
      </c>
      <c r="E162" s="80">
        <v>0.87</v>
      </c>
      <c r="F162" s="83">
        <v>18.2</v>
      </c>
    </row>
    <row r="163" spans="1:6" ht="12.75">
      <c r="A163" s="55" t="s">
        <v>76</v>
      </c>
      <c r="B163" s="61" t="s">
        <v>58</v>
      </c>
      <c r="C163" s="66" t="s">
        <v>64</v>
      </c>
      <c r="D163" s="71">
        <v>3.58</v>
      </c>
      <c r="E163" s="66">
        <v>4.23</v>
      </c>
      <c r="F163" s="71">
        <v>18.2</v>
      </c>
    </row>
    <row r="164" spans="1:6" ht="12.75">
      <c r="A164" s="55" t="s">
        <v>77</v>
      </c>
      <c r="B164" s="61" t="s">
        <v>59</v>
      </c>
      <c r="C164" s="66" t="s">
        <v>66</v>
      </c>
      <c r="D164" s="71">
        <v>31.95</v>
      </c>
      <c r="E164" s="66">
        <v>43.17</v>
      </c>
      <c r="F164" s="71">
        <v>35.1</v>
      </c>
    </row>
    <row r="165" spans="1:6" ht="12.75">
      <c r="A165" s="55" t="s">
        <v>78</v>
      </c>
      <c r="B165" s="61" t="s">
        <v>60</v>
      </c>
      <c r="C165" s="66" t="s">
        <v>66</v>
      </c>
      <c r="D165" s="71">
        <v>63.41</v>
      </c>
      <c r="E165" s="76">
        <v>76</v>
      </c>
      <c r="F165" s="71">
        <v>19.9</v>
      </c>
    </row>
    <row r="166" spans="1:6" ht="12.75">
      <c r="A166" s="55" t="s">
        <v>79</v>
      </c>
      <c r="B166" s="61" t="s">
        <v>61</v>
      </c>
      <c r="C166" s="66" t="s">
        <v>66</v>
      </c>
      <c r="D166" s="71">
        <v>167.42</v>
      </c>
      <c r="E166" s="66">
        <v>207.28</v>
      </c>
      <c r="F166" s="71">
        <v>23.8</v>
      </c>
    </row>
    <row r="167" spans="1:6" ht="13.5" thickBot="1">
      <c r="A167" s="55" t="s">
        <v>80</v>
      </c>
      <c r="B167" s="62" t="s">
        <v>62</v>
      </c>
      <c r="C167" s="67" t="s">
        <v>64</v>
      </c>
      <c r="D167" s="72">
        <v>15.15</v>
      </c>
      <c r="E167" s="67">
        <v>18.84</v>
      </c>
      <c r="F167" s="72">
        <v>24.4</v>
      </c>
    </row>
    <row r="168" ht="13.5" thickBot="1">
      <c r="F168" s="49">
        <v>24.45</v>
      </c>
    </row>
    <row r="170" ht="15">
      <c r="E170" s="36" t="s">
        <v>75</v>
      </c>
    </row>
    <row r="171" ht="15">
      <c r="E171" s="36"/>
    </row>
    <row r="172" spans="1:6" ht="20.25">
      <c r="A172" s="376" t="s">
        <v>73</v>
      </c>
      <c r="B172" s="376"/>
      <c r="C172" s="376"/>
      <c r="D172" s="376"/>
      <c r="E172" s="376"/>
      <c r="F172" s="376"/>
    </row>
    <row r="173" spans="1:6" ht="20.25">
      <c r="A173" s="77"/>
      <c r="B173" s="77"/>
      <c r="C173" s="77"/>
      <c r="D173" s="77"/>
      <c r="E173" s="77"/>
      <c r="F173" s="77"/>
    </row>
    <row r="174" spans="1:6" ht="20.25">
      <c r="A174" s="377" t="s">
        <v>74</v>
      </c>
      <c r="B174" s="377"/>
      <c r="C174" s="377"/>
      <c r="D174" s="377"/>
      <c r="E174" s="377"/>
      <c r="F174" s="377"/>
    </row>
    <row r="176" spans="1:6" ht="15.75">
      <c r="A176" s="370" t="s">
        <v>47</v>
      </c>
      <c r="B176" s="370"/>
      <c r="C176" s="370"/>
      <c r="D176" s="370"/>
      <c r="E176" s="370"/>
      <c r="F176" s="370"/>
    </row>
    <row r="177" spans="1:6" ht="15.75">
      <c r="A177" s="345" t="s">
        <v>48</v>
      </c>
      <c r="B177" s="345"/>
      <c r="C177" s="345"/>
      <c r="D177" s="345"/>
      <c r="E177" s="345"/>
      <c r="F177" s="345"/>
    </row>
    <row r="178" spans="1:6" ht="15.75">
      <c r="A178" s="371" t="s">
        <v>72</v>
      </c>
      <c r="B178" s="371"/>
      <c r="C178" s="371"/>
      <c r="D178" s="371"/>
      <c r="E178" s="371"/>
      <c r="F178" s="371"/>
    </row>
    <row r="179" ht="13.5" thickBot="1"/>
    <row r="180" spans="1:6" ht="13.5" thickBot="1">
      <c r="A180" s="52" t="s">
        <v>28</v>
      </c>
      <c r="B180" s="58" t="s">
        <v>42</v>
      </c>
      <c r="C180" s="63" t="s">
        <v>63</v>
      </c>
      <c r="D180" s="58" t="s">
        <v>43</v>
      </c>
      <c r="E180" s="63" t="s">
        <v>44</v>
      </c>
      <c r="F180" s="58" t="s">
        <v>45</v>
      </c>
    </row>
    <row r="181" spans="1:6" ht="12.75">
      <c r="A181" s="53">
        <v>1</v>
      </c>
      <c r="B181" s="59" t="s">
        <v>46</v>
      </c>
      <c r="C181" s="64" t="s">
        <v>64</v>
      </c>
      <c r="D181" s="68">
        <v>7.36</v>
      </c>
      <c r="E181" s="73">
        <v>8.7</v>
      </c>
      <c r="F181" s="68">
        <v>18.2</v>
      </c>
    </row>
    <row r="182" spans="1:6" ht="12.75">
      <c r="A182" s="54" t="s">
        <v>49</v>
      </c>
      <c r="B182" s="60" t="s">
        <v>52</v>
      </c>
      <c r="C182" s="65" t="s">
        <v>64</v>
      </c>
      <c r="D182" s="69">
        <v>0.6</v>
      </c>
      <c r="E182" s="74">
        <v>0.73</v>
      </c>
      <c r="F182" s="70">
        <v>21.2</v>
      </c>
    </row>
    <row r="183" spans="1:6" ht="12.75">
      <c r="A183" s="54" t="s">
        <v>50</v>
      </c>
      <c r="B183" s="60" t="s">
        <v>53</v>
      </c>
      <c r="C183" s="65" t="s">
        <v>65</v>
      </c>
      <c r="D183" s="70">
        <v>0.45</v>
      </c>
      <c r="E183" s="74">
        <v>0.56</v>
      </c>
      <c r="F183" s="70">
        <v>25</v>
      </c>
    </row>
    <row r="184" spans="1:6" ht="12.75">
      <c r="A184" s="54" t="s">
        <v>51</v>
      </c>
      <c r="B184" s="60" t="s">
        <v>54</v>
      </c>
      <c r="C184" s="65" t="s">
        <v>64</v>
      </c>
      <c r="D184" s="69">
        <v>0.41</v>
      </c>
      <c r="E184" s="75">
        <v>0.47</v>
      </c>
      <c r="F184" s="70">
        <v>15</v>
      </c>
    </row>
    <row r="185" spans="1:6" ht="12.75">
      <c r="A185" s="55" t="s">
        <v>55</v>
      </c>
      <c r="B185" s="61" t="s">
        <v>57</v>
      </c>
      <c r="C185" s="66" t="s">
        <v>64</v>
      </c>
      <c r="D185" s="71">
        <v>1</v>
      </c>
      <c r="E185" s="66">
        <v>1.5</v>
      </c>
      <c r="F185" s="71">
        <v>50</v>
      </c>
    </row>
    <row r="186" spans="1:6" ht="25.5" customHeight="1">
      <c r="A186" s="81" t="s">
        <v>56</v>
      </c>
      <c r="B186" s="79" t="s">
        <v>81</v>
      </c>
      <c r="C186" s="80" t="s">
        <v>64</v>
      </c>
      <c r="D186" s="83">
        <v>0.76</v>
      </c>
      <c r="E186" s="80">
        <v>0.87</v>
      </c>
      <c r="F186" s="83">
        <v>18.2</v>
      </c>
    </row>
    <row r="187" spans="1:6" ht="12.75">
      <c r="A187" s="55" t="s">
        <v>76</v>
      </c>
      <c r="B187" s="61" t="s">
        <v>58</v>
      </c>
      <c r="C187" s="66" t="s">
        <v>64</v>
      </c>
      <c r="D187" s="71">
        <v>3.58</v>
      </c>
      <c r="E187" s="66">
        <v>4.23</v>
      </c>
      <c r="F187" s="71">
        <v>18.2</v>
      </c>
    </row>
    <row r="188" spans="1:6" ht="12.75">
      <c r="A188" s="55" t="s">
        <v>77</v>
      </c>
      <c r="B188" s="61" t="s">
        <v>59</v>
      </c>
      <c r="C188" s="66" t="s">
        <v>66</v>
      </c>
      <c r="D188" s="71">
        <v>31.95</v>
      </c>
      <c r="E188" s="66">
        <v>43.17</v>
      </c>
      <c r="F188" s="71">
        <v>35.1</v>
      </c>
    </row>
    <row r="189" spans="1:6" ht="12.75">
      <c r="A189" s="55" t="s">
        <v>78</v>
      </c>
      <c r="B189" s="61" t="s">
        <v>60</v>
      </c>
      <c r="C189" s="66" t="s">
        <v>66</v>
      </c>
      <c r="D189" s="71">
        <v>63.41</v>
      </c>
      <c r="E189" s="76">
        <v>76</v>
      </c>
      <c r="F189" s="71">
        <v>19.9</v>
      </c>
    </row>
    <row r="190" spans="1:6" ht="12.75">
      <c r="A190" s="55" t="s">
        <v>79</v>
      </c>
      <c r="B190" s="61" t="s">
        <v>61</v>
      </c>
      <c r="C190" s="66" t="s">
        <v>66</v>
      </c>
      <c r="D190" s="71">
        <v>167.42</v>
      </c>
      <c r="E190" s="66">
        <v>207.28</v>
      </c>
      <c r="F190" s="71">
        <v>23.8</v>
      </c>
    </row>
    <row r="191" spans="1:6" ht="13.5" thickBot="1">
      <c r="A191" s="55" t="s">
        <v>80</v>
      </c>
      <c r="B191" s="62" t="s">
        <v>62</v>
      </c>
      <c r="C191" s="67" t="s">
        <v>64</v>
      </c>
      <c r="D191" s="72">
        <v>15.15</v>
      </c>
      <c r="E191" s="67">
        <v>18.84</v>
      </c>
      <c r="F191" s="72">
        <v>24.4</v>
      </c>
    </row>
    <row r="192" ht="13.5" thickBot="1">
      <c r="F192" s="49">
        <v>24.45</v>
      </c>
    </row>
    <row r="194" spans="2:5" ht="15.75" thickBot="1">
      <c r="B194" s="239" t="s">
        <v>207</v>
      </c>
      <c r="E194" s="36" t="s">
        <v>75</v>
      </c>
    </row>
    <row r="195" spans="1:6" ht="13.5" thickBot="1">
      <c r="A195" s="52" t="s">
        <v>28</v>
      </c>
      <c r="B195" s="58" t="s">
        <v>42</v>
      </c>
      <c r="C195" s="63" t="s">
        <v>63</v>
      </c>
      <c r="D195" s="58"/>
      <c r="E195" s="63" t="s">
        <v>44</v>
      </c>
      <c r="F195" s="58" t="s">
        <v>195</v>
      </c>
    </row>
    <row r="196" spans="1:6" ht="12.75">
      <c r="A196" s="214">
        <v>1</v>
      </c>
      <c r="B196" s="215" t="s">
        <v>46</v>
      </c>
      <c r="C196" s="216" t="s">
        <v>64</v>
      </c>
      <c r="D196" s="217"/>
      <c r="E196" s="218">
        <v>8.7</v>
      </c>
      <c r="F196" s="217">
        <v>100</v>
      </c>
    </row>
    <row r="197" spans="1:6" ht="12.75">
      <c r="A197" s="54" t="s">
        <v>49</v>
      </c>
      <c r="B197" s="60" t="s">
        <v>52</v>
      </c>
      <c r="C197" s="65" t="s">
        <v>64</v>
      </c>
      <c r="D197" s="69"/>
      <c r="E197" s="74">
        <v>0.73</v>
      </c>
      <c r="F197" s="69">
        <f>E197*100/8.7</f>
        <v>8.39080459770115</v>
      </c>
    </row>
    <row r="198" spans="1:6" ht="12.75">
      <c r="A198" s="54" t="s">
        <v>50</v>
      </c>
      <c r="B198" s="60" t="s">
        <v>53</v>
      </c>
      <c r="C198" s="65" t="s">
        <v>64</v>
      </c>
      <c r="D198" s="70"/>
      <c r="E198" s="74">
        <v>1.53</v>
      </c>
      <c r="F198" s="69">
        <f>E198*100/8.7</f>
        <v>17.586206896551726</v>
      </c>
    </row>
    <row r="199" spans="1:6" ht="12.75">
      <c r="A199" s="54" t="s">
        <v>51</v>
      </c>
      <c r="B199" s="60" t="s">
        <v>54</v>
      </c>
      <c r="C199" s="65" t="s">
        <v>64</v>
      </c>
      <c r="D199" s="69"/>
      <c r="E199" s="75">
        <v>0.47</v>
      </c>
      <c r="F199" s="69">
        <f>E199*100/8.7</f>
        <v>5.402298850574713</v>
      </c>
    </row>
    <row r="200" spans="1:6" ht="12.75">
      <c r="A200" s="219" t="s">
        <v>194</v>
      </c>
      <c r="B200" s="220" t="s">
        <v>193</v>
      </c>
      <c r="C200" s="65" t="s">
        <v>64</v>
      </c>
      <c r="D200" s="221"/>
      <c r="E200" s="222">
        <f>E196*0.12</f>
        <v>1.0439999999999998</v>
      </c>
      <c r="F200" s="223">
        <v>12</v>
      </c>
    </row>
    <row r="201" spans="1:6" ht="12.75">
      <c r="A201" s="219" t="s">
        <v>199</v>
      </c>
      <c r="B201" s="220" t="s">
        <v>196</v>
      </c>
      <c r="C201" s="65" t="s">
        <v>64</v>
      </c>
      <c r="D201" s="221"/>
      <c r="E201" s="222">
        <f>E196*0.02</f>
        <v>0.174</v>
      </c>
      <c r="F201" s="223">
        <v>2</v>
      </c>
    </row>
    <row r="202" spans="1:6" ht="12.75">
      <c r="A202" s="219" t="s">
        <v>200</v>
      </c>
      <c r="B202" s="220" t="s">
        <v>197</v>
      </c>
      <c r="C202" s="65" t="s">
        <v>64</v>
      </c>
      <c r="D202" s="221"/>
      <c r="E202" s="222">
        <f>E196*0.06</f>
        <v>0.5219999999999999</v>
      </c>
      <c r="F202" s="223">
        <v>6</v>
      </c>
    </row>
    <row r="203" spans="1:6" ht="25.5" customHeight="1" thickBot="1">
      <c r="A203" s="224" t="s">
        <v>201</v>
      </c>
      <c r="B203" s="225" t="s">
        <v>198</v>
      </c>
      <c r="C203" s="226" t="s">
        <v>64</v>
      </c>
      <c r="D203" s="221"/>
      <c r="E203" s="90">
        <f>E196-E197-E198-E199-E200-E201-E202</f>
        <v>4.229999999999999</v>
      </c>
      <c r="F203" s="227">
        <f>E203*100/8.7</f>
        <v>48.620689655172406</v>
      </c>
    </row>
    <row r="204" spans="1:6" ht="13.5" thickBot="1">
      <c r="A204" s="228" t="s">
        <v>55</v>
      </c>
      <c r="B204" s="229" t="s">
        <v>58</v>
      </c>
      <c r="C204" s="230" t="s">
        <v>64</v>
      </c>
      <c r="D204" s="105"/>
      <c r="E204" s="230">
        <v>4.23</v>
      </c>
      <c r="F204" s="105">
        <v>100</v>
      </c>
    </row>
    <row r="205" spans="1:6" ht="12.75">
      <c r="A205" s="231" t="s">
        <v>203</v>
      </c>
      <c r="B205" s="124" t="s">
        <v>196</v>
      </c>
      <c r="C205" s="235" t="s">
        <v>64</v>
      </c>
      <c r="D205" s="236"/>
      <c r="E205" s="237">
        <f>E204*0.02</f>
        <v>0.08460000000000001</v>
      </c>
      <c r="F205" s="201">
        <v>2</v>
      </c>
    </row>
    <row r="206" spans="1:6" ht="12.75">
      <c r="A206" s="54" t="s">
        <v>204</v>
      </c>
      <c r="B206" s="60" t="s">
        <v>197</v>
      </c>
      <c r="C206" s="65" t="s">
        <v>64</v>
      </c>
      <c r="D206" s="69"/>
      <c r="E206" s="75">
        <f>E204*0.06</f>
        <v>0.2538</v>
      </c>
      <c r="F206" s="70">
        <v>6</v>
      </c>
    </row>
    <row r="207" spans="1:6" ht="12.75">
      <c r="A207" s="54" t="s">
        <v>205</v>
      </c>
      <c r="B207" s="60" t="s">
        <v>193</v>
      </c>
      <c r="C207" s="65" t="s">
        <v>64</v>
      </c>
      <c r="D207" s="69"/>
      <c r="E207" s="75">
        <f>E204*0.12</f>
        <v>0.5076</v>
      </c>
      <c r="F207" s="70">
        <v>12</v>
      </c>
    </row>
    <row r="208" spans="1:6" ht="25.5" customHeight="1" thickBot="1">
      <c r="A208" s="232" t="s">
        <v>206</v>
      </c>
      <c r="B208" s="234" t="s">
        <v>202</v>
      </c>
      <c r="C208" s="233" t="s">
        <v>64</v>
      </c>
      <c r="D208" s="95"/>
      <c r="E208" s="238">
        <f>E204-E205-E206-E207</f>
        <v>3.3840000000000003</v>
      </c>
      <c r="F208" s="89">
        <f>F204-F205-F206-F207</f>
        <v>80</v>
      </c>
    </row>
    <row r="211" spans="1:6" ht="15.75">
      <c r="A211" s="370" t="s">
        <v>47</v>
      </c>
      <c r="B211" s="370"/>
      <c r="C211" s="370"/>
      <c r="D211" s="370"/>
      <c r="E211" s="370"/>
      <c r="F211" s="370"/>
    </row>
    <row r="212" spans="1:6" ht="15.75">
      <c r="A212" s="345" t="s">
        <v>48</v>
      </c>
      <c r="B212" s="345"/>
      <c r="C212" s="345"/>
      <c r="D212" s="345"/>
      <c r="E212" s="345"/>
      <c r="F212" s="345"/>
    </row>
    <row r="213" spans="1:6" ht="15.75">
      <c r="A213" s="371" t="s">
        <v>72</v>
      </c>
      <c r="B213" s="371"/>
      <c r="C213" s="371"/>
      <c r="D213" s="371"/>
      <c r="E213" s="371"/>
      <c r="F213" s="371"/>
    </row>
    <row r="214" spans="1:7" ht="12.75">
      <c r="A214" s="371" t="s">
        <v>354</v>
      </c>
      <c r="B214" s="378"/>
      <c r="C214" s="378"/>
      <c r="D214" s="378"/>
      <c r="E214" s="378"/>
      <c r="F214" s="378"/>
      <c r="G214" s="378"/>
    </row>
    <row r="215" ht="13.5" thickBot="1"/>
    <row r="216" spans="1:6" ht="13.5" thickBot="1">
      <c r="A216" s="101" t="s">
        <v>28</v>
      </c>
      <c r="B216" s="102" t="s">
        <v>42</v>
      </c>
      <c r="C216" s="102" t="s">
        <v>63</v>
      </c>
      <c r="D216" s="102" t="s">
        <v>44</v>
      </c>
      <c r="E216" s="102" t="s">
        <v>351</v>
      </c>
      <c r="F216" s="293" t="s">
        <v>45</v>
      </c>
    </row>
    <row r="217" spans="1:7" ht="13.5" thickBot="1">
      <c r="A217" s="294">
        <v>1</v>
      </c>
      <c r="B217" s="295" t="s">
        <v>58</v>
      </c>
      <c r="C217" s="296" t="s">
        <v>64</v>
      </c>
      <c r="D217" s="296">
        <v>4.23</v>
      </c>
      <c r="E217" s="296">
        <v>4.6</v>
      </c>
      <c r="F217" s="297">
        <f aca="true" t="shared" si="0" ref="F217:F228">100/D217*E217-100</f>
        <v>8.747044917257654</v>
      </c>
      <c r="G217" s="364">
        <f>(F217+F218+F219)/3</f>
        <v>5.980815738702745</v>
      </c>
    </row>
    <row r="218" spans="1:7" ht="13.5" thickBot="1">
      <c r="A218" s="305">
        <v>2</v>
      </c>
      <c r="B218" s="306" t="s">
        <v>57</v>
      </c>
      <c r="C218" s="307" t="s">
        <v>64</v>
      </c>
      <c r="D218" s="307">
        <v>1.5</v>
      </c>
      <c r="E218" s="307">
        <v>1.5</v>
      </c>
      <c r="F218" s="308">
        <f t="shared" si="0"/>
        <v>0</v>
      </c>
      <c r="G218" s="365"/>
    </row>
    <row r="219" spans="1:7" ht="13.5" thickBot="1">
      <c r="A219" s="298">
        <v>3</v>
      </c>
      <c r="B219" s="299" t="s">
        <v>46</v>
      </c>
      <c r="C219" s="300" t="s">
        <v>64</v>
      </c>
      <c r="D219" s="301">
        <v>8.7</v>
      </c>
      <c r="E219" s="301">
        <v>9.5</v>
      </c>
      <c r="F219" s="302">
        <f t="shared" si="0"/>
        <v>9.195402298850581</v>
      </c>
      <c r="G219" s="366"/>
    </row>
    <row r="220" spans="1:7" ht="12.75">
      <c r="A220" s="281" t="s">
        <v>357</v>
      </c>
      <c r="B220" s="1" t="s">
        <v>52</v>
      </c>
      <c r="C220" s="141" t="s">
        <v>353</v>
      </c>
      <c r="D220" s="16">
        <v>121.43</v>
      </c>
      <c r="E220" s="16">
        <v>152.59</v>
      </c>
      <c r="F220" s="26">
        <f t="shared" si="0"/>
        <v>25.66087457794613</v>
      </c>
      <c r="G220" s="367">
        <f>(F220+F221+F222)/3</f>
        <v>13.543493147056006</v>
      </c>
    </row>
    <row r="221" spans="1:7" ht="12.75">
      <c r="A221" s="281" t="s">
        <v>358</v>
      </c>
      <c r="B221" s="1" t="s">
        <v>356</v>
      </c>
      <c r="C221" s="141" t="s">
        <v>65</v>
      </c>
      <c r="D221" s="16">
        <v>0.56</v>
      </c>
      <c r="E221" s="16">
        <v>0.62</v>
      </c>
      <c r="F221" s="26">
        <f t="shared" si="0"/>
        <v>10.714285714285708</v>
      </c>
      <c r="G221" s="368"/>
    </row>
    <row r="222" spans="1:7" ht="13.5" thickBot="1">
      <c r="A222" s="303" t="s">
        <v>359</v>
      </c>
      <c r="B222" s="2" t="s">
        <v>54</v>
      </c>
      <c r="C222" s="304" t="s">
        <v>64</v>
      </c>
      <c r="D222" s="91">
        <v>0.47</v>
      </c>
      <c r="E222" s="91">
        <v>0.49</v>
      </c>
      <c r="F222" s="20">
        <f t="shared" si="0"/>
        <v>4.255319148936181</v>
      </c>
      <c r="G222" s="369"/>
    </row>
    <row r="223" spans="1:6" ht="25.5" customHeight="1" thickBot="1">
      <c r="A223" s="309">
        <v>4</v>
      </c>
      <c r="B223" s="310" t="s">
        <v>81</v>
      </c>
      <c r="C223" s="311" t="s">
        <v>64</v>
      </c>
      <c r="D223" s="311">
        <v>0.87</v>
      </c>
      <c r="E223" s="311">
        <v>0.2</v>
      </c>
      <c r="F223" s="312">
        <f t="shared" si="0"/>
        <v>-77.01149425287356</v>
      </c>
    </row>
    <row r="224" spans="1:7" ht="12.75">
      <c r="A224" s="289">
        <v>5</v>
      </c>
      <c r="B224" s="290" t="s">
        <v>59</v>
      </c>
      <c r="C224" s="291" t="s">
        <v>66</v>
      </c>
      <c r="D224" s="291">
        <v>43.17</v>
      </c>
      <c r="E224" s="291">
        <v>47.98</v>
      </c>
      <c r="F224" s="292">
        <f t="shared" si="0"/>
        <v>11.141996757007163</v>
      </c>
      <c r="G224" s="364">
        <f>(F224+F225)/2</f>
        <v>13.432840483766746</v>
      </c>
    </row>
    <row r="225" spans="1:7" ht="13.5" thickBot="1">
      <c r="A225" s="282">
        <v>6</v>
      </c>
      <c r="B225" s="280" t="s">
        <v>60</v>
      </c>
      <c r="C225" s="279" t="s">
        <v>66</v>
      </c>
      <c r="D225" s="269">
        <v>76</v>
      </c>
      <c r="E225" s="269">
        <v>87.95</v>
      </c>
      <c r="F225" s="26">
        <f t="shared" si="0"/>
        <v>15.72368421052633</v>
      </c>
      <c r="G225" s="366"/>
    </row>
    <row r="226" spans="1:6" ht="13.5" thickBot="1">
      <c r="A226" s="282">
        <v>7</v>
      </c>
      <c r="B226" s="280" t="s">
        <v>61</v>
      </c>
      <c r="C226" s="279" t="s">
        <v>66</v>
      </c>
      <c r="D226" s="279">
        <v>48.68</v>
      </c>
      <c r="E226" s="279">
        <v>53.3</v>
      </c>
      <c r="F226" s="26">
        <f t="shared" si="0"/>
        <v>9.490550534100237</v>
      </c>
    </row>
    <row r="227" spans="1:7" ht="12.75">
      <c r="A227" s="374">
        <v>8</v>
      </c>
      <c r="B227" s="362" t="s">
        <v>62</v>
      </c>
      <c r="C227" s="287" t="s">
        <v>355</v>
      </c>
      <c r="D227" s="287">
        <v>10.3</v>
      </c>
      <c r="E227" s="287">
        <v>11.45</v>
      </c>
      <c r="F227" s="288">
        <f t="shared" si="0"/>
        <v>11.16504854368931</v>
      </c>
      <c r="G227" s="364">
        <f>(F227+F228)/2</f>
        <v>10.113192084971622</v>
      </c>
    </row>
    <row r="228" spans="1:7" ht="13.5" thickBot="1">
      <c r="A228" s="375"/>
      <c r="B228" s="363"/>
      <c r="C228" s="283" t="s">
        <v>352</v>
      </c>
      <c r="D228" s="283">
        <v>697.8</v>
      </c>
      <c r="E228" s="283">
        <v>761.03</v>
      </c>
      <c r="F228" s="20">
        <f t="shared" si="0"/>
        <v>9.061335626253936</v>
      </c>
      <c r="G228" s="366"/>
    </row>
    <row r="229" spans="1:6" ht="12.75">
      <c r="A229" s="284"/>
      <c r="B229" s="285"/>
      <c r="C229" s="275"/>
      <c r="D229" s="275"/>
      <c r="E229" s="275"/>
      <c r="F229" s="286"/>
    </row>
    <row r="230" spans="1:6" ht="15.75">
      <c r="A230" s="370" t="s">
        <v>47</v>
      </c>
      <c r="B230" s="370"/>
      <c r="C230" s="370"/>
      <c r="D230" s="370"/>
      <c r="E230" s="370"/>
      <c r="F230" s="370"/>
    </row>
    <row r="231" spans="1:6" ht="15.75">
      <c r="A231" s="345" t="s">
        <v>48</v>
      </c>
      <c r="B231" s="345"/>
      <c r="C231" s="345"/>
      <c r="D231" s="345"/>
      <c r="E231" s="345"/>
      <c r="F231" s="345"/>
    </row>
    <row r="232" spans="1:6" ht="15.75">
      <c r="A232" s="371" t="s">
        <v>71</v>
      </c>
      <c r="B232" s="371"/>
      <c r="C232" s="371"/>
      <c r="D232" s="371"/>
      <c r="E232" s="371"/>
      <c r="F232" s="371"/>
    </row>
    <row r="233" ht="13.5" thickBot="1"/>
    <row r="234" spans="1:6" ht="13.5" thickBot="1">
      <c r="A234" s="101" t="s">
        <v>28</v>
      </c>
      <c r="B234" s="102" t="s">
        <v>42</v>
      </c>
      <c r="C234" s="102" t="s">
        <v>63</v>
      </c>
      <c r="D234" s="102" t="s">
        <v>44</v>
      </c>
      <c r="E234" s="102" t="s">
        <v>351</v>
      </c>
      <c r="F234" s="293" t="s">
        <v>45</v>
      </c>
    </row>
    <row r="235" spans="1:7" ht="13.5" thickBot="1">
      <c r="A235" s="294">
        <v>1</v>
      </c>
      <c r="B235" s="295" t="s">
        <v>58</v>
      </c>
      <c r="C235" s="296" t="s">
        <v>64</v>
      </c>
      <c r="D235" s="296">
        <v>4.04</v>
      </c>
      <c r="E235" s="296">
        <v>4.04</v>
      </c>
      <c r="F235" s="297">
        <f aca="true" t="shared" si="1" ref="F235:F245">100/D235*E235-100</f>
        <v>0</v>
      </c>
      <c r="G235" s="364">
        <f>(F235+F236+F237)/3</f>
        <v>0</v>
      </c>
    </row>
    <row r="236" spans="1:7" ht="13.5" thickBot="1">
      <c r="A236" s="305">
        <v>2</v>
      </c>
      <c r="B236" s="306" t="s">
        <v>57</v>
      </c>
      <c r="C236" s="307" t="s">
        <v>64</v>
      </c>
      <c r="D236" s="307">
        <v>1.5</v>
      </c>
      <c r="E236" s="307">
        <v>1.5</v>
      </c>
      <c r="F236" s="308">
        <f t="shared" si="1"/>
        <v>0</v>
      </c>
      <c r="G236" s="365"/>
    </row>
    <row r="237" spans="1:7" ht="13.5" thickBot="1">
      <c r="A237" s="298">
        <v>3</v>
      </c>
      <c r="B237" s="299" t="s">
        <v>46</v>
      </c>
      <c r="C237" s="300" t="s">
        <v>64</v>
      </c>
      <c r="D237" s="301">
        <v>8.23</v>
      </c>
      <c r="E237" s="301">
        <v>8.23</v>
      </c>
      <c r="F237" s="302">
        <f t="shared" si="1"/>
        <v>0</v>
      </c>
      <c r="G237" s="366"/>
    </row>
    <row r="238" spans="1:7" ht="12.75">
      <c r="A238" s="281" t="s">
        <v>357</v>
      </c>
      <c r="B238" s="1" t="s">
        <v>52</v>
      </c>
      <c r="C238" s="141" t="s">
        <v>353</v>
      </c>
      <c r="D238" s="16">
        <v>121.43</v>
      </c>
      <c r="E238" s="16">
        <v>152.59</v>
      </c>
      <c r="F238" s="26">
        <f t="shared" si="1"/>
        <v>25.66087457794613</v>
      </c>
      <c r="G238" s="367">
        <f>(F238+F239+F240)/3</f>
        <v>13.543493147056006</v>
      </c>
    </row>
    <row r="239" spans="1:7" ht="12.75">
      <c r="A239" s="281" t="s">
        <v>358</v>
      </c>
      <c r="B239" s="1" t="s">
        <v>356</v>
      </c>
      <c r="C239" s="141" t="s">
        <v>65</v>
      </c>
      <c r="D239" s="16">
        <v>0.56</v>
      </c>
      <c r="E239" s="16">
        <v>0.62</v>
      </c>
      <c r="F239" s="26">
        <f t="shared" si="1"/>
        <v>10.714285714285708</v>
      </c>
      <c r="G239" s="368"/>
    </row>
    <row r="240" spans="1:7" ht="13.5" thickBot="1">
      <c r="A240" s="303" t="s">
        <v>359</v>
      </c>
      <c r="B240" s="2" t="s">
        <v>54</v>
      </c>
      <c r="C240" s="304" t="s">
        <v>64</v>
      </c>
      <c r="D240" s="91">
        <v>0.47</v>
      </c>
      <c r="E240" s="91">
        <v>0.49</v>
      </c>
      <c r="F240" s="20">
        <f t="shared" si="1"/>
        <v>4.255319148936181</v>
      </c>
      <c r="G240" s="369"/>
    </row>
    <row r="241" spans="1:7" ht="12.75">
      <c r="A241" s="289">
        <v>4</v>
      </c>
      <c r="B241" s="290" t="s">
        <v>59</v>
      </c>
      <c r="C241" s="291" t="s">
        <v>66</v>
      </c>
      <c r="D241" s="291">
        <v>43.17</v>
      </c>
      <c r="E241" s="291">
        <v>47.98</v>
      </c>
      <c r="F241" s="292">
        <f t="shared" si="1"/>
        <v>11.141996757007163</v>
      </c>
      <c r="G241" s="364">
        <f>(F241+F242)/2</f>
        <v>13.432840483766746</v>
      </c>
    </row>
    <row r="242" spans="1:7" ht="13.5" thickBot="1">
      <c r="A242" s="282">
        <v>5</v>
      </c>
      <c r="B242" s="280" t="s">
        <v>60</v>
      </c>
      <c r="C242" s="279" t="s">
        <v>66</v>
      </c>
      <c r="D242" s="269">
        <v>76</v>
      </c>
      <c r="E242" s="269">
        <v>87.95</v>
      </c>
      <c r="F242" s="26">
        <f t="shared" si="1"/>
        <v>15.72368421052633</v>
      </c>
      <c r="G242" s="366"/>
    </row>
    <row r="243" spans="1:7" ht="13.5" thickBot="1">
      <c r="A243" s="282">
        <v>6</v>
      </c>
      <c r="B243" s="280" t="s">
        <v>61</v>
      </c>
      <c r="C243" s="279" t="s">
        <v>353</v>
      </c>
      <c r="D243" s="279">
        <v>48.68</v>
      </c>
      <c r="E243" s="279">
        <v>53.3</v>
      </c>
      <c r="F243" s="26">
        <f t="shared" si="1"/>
        <v>9.490550534100237</v>
      </c>
      <c r="G243" s="229">
        <v>9.49</v>
      </c>
    </row>
    <row r="244" spans="1:7" ht="12.75">
      <c r="A244" s="374">
        <v>7</v>
      </c>
      <c r="B244" s="362" t="s">
        <v>62</v>
      </c>
      <c r="C244" s="287" t="s">
        <v>355</v>
      </c>
      <c r="D244" s="287">
        <v>10.3</v>
      </c>
      <c r="E244" s="287">
        <v>11.45</v>
      </c>
      <c r="F244" s="288">
        <f t="shared" si="1"/>
        <v>11.16504854368931</v>
      </c>
      <c r="G244" s="364">
        <f>(F244+F245)/2</f>
        <v>10.113192084971622</v>
      </c>
    </row>
    <row r="245" spans="1:7" ht="13.5" thickBot="1">
      <c r="A245" s="375"/>
      <c r="B245" s="363"/>
      <c r="C245" s="283" t="s">
        <v>352</v>
      </c>
      <c r="D245" s="283">
        <v>697.8</v>
      </c>
      <c r="E245" s="283">
        <v>761.03</v>
      </c>
      <c r="F245" s="20">
        <f t="shared" si="1"/>
        <v>9.061335626253936</v>
      </c>
      <c r="G245" s="366"/>
    </row>
    <row r="247" spans="1:10" ht="15.75">
      <c r="A247" s="370" t="s">
        <v>47</v>
      </c>
      <c r="B247" s="370"/>
      <c r="C247" s="370"/>
      <c r="D247" s="370"/>
      <c r="E247" s="370"/>
      <c r="F247" s="370"/>
      <c r="G247" s="347"/>
      <c r="H247" s="347"/>
      <c r="I247" s="347"/>
      <c r="J247" s="347"/>
    </row>
    <row r="248" spans="1:10" ht="15.75">
      <c r="A248" s="345" t="s">
        <v>48</v>
      </c>
      <c r="B248" s="345"/>
      <c r="C248" s="345"/>
      <c r="D248" s="345"/>
      <c r="E248" s="345"/>
      <c r="F248" s="345"/>
      <c r="G248" s="347"/>
      <c r="H248" s="347"/>
      <c r="I248" s="347"/>
      <c r="J248" s="347"/>
    </row>
    <row r="249" spans="1:10" ht="15.75">
      <c r="A249" s="371" t="s">
        <v>71</v>
      </c>
      <c r="B249" s="371"/>
      <c r="C249" s="371"/>
      <c r="D249" s="371"/>
      <c r="E249" s="371"/>
      <c r="F249" s="371"/>
      <c r="G249" s="347"/>
      <c r="H249" s="347"/>
      <c r="I249" s="347"/>
      <c r="J249" s="347"/>
    </row>
    <row r="250" ht="13.5" thickBot="1"/>
    <row r="251" spans="1:10" ht="13.5" thickBot="1">
      <c r="A251" s="101" t="s">
        <v>28</v>
      </c>
      <c r="B251" s="102" t="s">
        <v>42</v>
      </c>
      <c r="C251" s="102" t="s">
        <v>63</v>
      </c>
      <c r="D251" s="102" t="s">
        <v>44</v>
      </c>
      <c r="E251" s="102" t="s">
        <v>351</v>
      </c>
      <c r="F251" s="103" t="s">
        <v>45</v>
      </c>
      <c r="G251" s="101" t="s">
        <v>45</v>
      </c>
      <c r="H251" s="102" t="s">
        <v>414</v>
      </c>
      <c r="I251" s="102" t="s">
        <v>45</v>
      </c>
      <c r="J251" s="293" t="s">
        <v>45</v>
      </c>
    </row>
    <row r="252" spans="1:10" ht="13.5" thickBot="1">
      <c r="A252" s="294">
        <v>1</v>
      </c>
      <c r="B252" s="295" t="s">
        <v>58</v>
      </c>
      <c r="C252" s="296" t="s">
        <v>64</v>
      </c>
      <c r="D252" s="296" t="s">
        <v>427</v>
      </c>
      <c r="E252" s="296" t="s">
        <v>427</v>
      </c>
      <c r="F252" s="297">
        <v>0</v>
      </c>
      <c r="G252" s="356">
        <f>(F252+F253+F254)/3</f>
        <v>0</v>
      </c>
      <c r="H252" s="322" t="s">
        <v>424</v>
      </c>
      <c r="I252" s="323">
        <v>13.21</v>
      </c>
      <c r="J252" s="359">
        <v>14.29</v>
      </c>
    </row>
    <row r="253" spans="1:10" ht="13.5" thickBot="1">
      <c r="A253" s="305">
        <v>2</v>
      </c>
      <c r="B253" s="306" t="s">
        <v>57</v>
      </c>
      <c r="C253" s="307" t="s">
        <v>64</v>
      </c>
      <c r="D253" s="307">
        <v>1.5</v>
      </c>
      <c r="E253" s="307">
        <v>1.5</v>
      </c>
      <c r="F253" s="308">
        <f aca="true" t="shared" si="2" ref="F253:F262">100/D253*E253-100</f>
        <v>0</v>
      </c>
      <c r="G253" s="356"/>
      <c r="H253" s="327" t="s">
        <v>425</v>
      </c>
      <c r="I253" s="328">
        <v>14.55</v>
      </c>
      <c r="J253" s="360"/>
    </row>
    <row r="254" spans="1:10" ht="13.5" thickBot="1">
      <c r="A254" s="298">
        <v>3</v>
      </c>
      <c r="B254" s="299" t="s">
        <v>428</v>
      </c>
      <c r="C254" s="300" t="s">
        <v>64</v>
      </c>
      <c r="D254" s="301" t="s">
        <v>426</v>
      </c>
      <c r="E254" s="301" t="s">
        <v>426</v>
      </c>
      <c r="F254" s="302">
        <v>0</v>
      </c>
      <c r="G254" s="357"/>
      <c r="H254" s="327" t="s">
        <v>423</v>
      </c>
      <c r="I254" s="328">
        <v>15.11</v>
      </c>
      <c r="J254" s="361"/>
    </row>
    <row r="255" spans="1:10" ht="12.75">
      <c r="A255" s="281" t="s">
        <v>357</v>
      </c>
      <c r="B255" s="1" t="s">
        <v>52</v>
      </c>
      <c r="C255" s="141" t="s">
        <v>353</v>
      </c>
      <c r="D255" s="16">
        <v>121.43</v>
      </c>
      <c r="E255" s="16">
        <v>152.59</v>
      </c>
      <c r="F255" s="26">
        <f t="shared" si="2"/>
        <v>25.66087457794613</v>
      </c>
      <c r="G255" s="358">
        <f>(F255+F256+F257)/3</f>
        <v>13.543493147056006</v>
      </c>
      <c r="H255" s="320">
        <v>154.13</v>
      </c>
      <c r="I255" s="324">
        <v>1.01</v>
      </c>
      <c r="J255" s="359">
        <v>7.65</v>
      </c>
    </row>
    <row r="256" spans="1:10" ht="12.75">
      <c r="A256" s="281" t="s">
        <v>358</v>
      </c>
      <c r="B256" s="1" t="s">
        <v>356</v>
      </c>
      <c r="C256" s="141" t="s">
        <v>65</v>
      </c>
      <c r="D256" s="16">
        <v>0.56</v>
      </c>
      <c r="E256" s="16">
        <v>0.62</v>
      </c>
      <c r="F256" s="26">
        <f t="shared" si="2"/>
        <v>10.714285714285708</v>
      </c>
      <c r="G256" s="356"/>
      <c r="H256" s="321">
        <v>0.68</v>
      </c>
      <c r="I256" s="17">
        <v>9.68</v>
      </c>
      <c r="J256" s="360"/>
    </row>
    <row r="257" spans="1:10" ht="13.5" thickBot="1">
      <c r="A257" s="303" t="s">
        <v>359</v>
      </c>
      <c r="B257" s="2" t="s">
        <v>54</v>
      </c>
      <c r="C257" s="304" t="s">
        <v>64</v>
      </c>
      <c r="D257" s="91">
        <v>0.47</v>
      </c>
      <c r="E257" s="91">
        <v>0.49</v>
      </c>
      <c r="F257" s="20">
        <f t="shared" si="2"/>
        <v>4.255319148936181</v>
      </c>
      <c r="G257" s="357"/>
      <c r="H257" s="94">
        <v>0.55</v>
      </c>
      <c r="I257" s="325">
        <v>12.25</v>
      </c>
      <c r="J257" s="361"/>
    </row>
    <row r="258" spans="1:10" ht="12.75">
      <c r="A258" s="289">
        <v>4</v>
      </c>
      <c r="B258" s="290" t="s">
        <v>59</v>
      </c>
      <c r="C258" s="291" t="s">
        <v>66</v>
      </c>
      <c r="D258" s="291">
        <v>43.17</v>
      </c>
      <c r="E258" s="291">
        <v>47.98</v>
      </c>
      <c r="F258" s="292">
        <f t="shared" si="2"/>
        <v>11.141996757007163</v>
      </c>
      <c r="G258" s="358">
        <f>(F258+F259)/2</f>
        <v>13.432840483766746</v>
      </c>
      <c r="H258" s="96">
        <v>56.12</v>
      </c>
      <c r="I258" s="329">
        <f>100/E258*H258-100</f>
        <v>16.9654022509379</v>
      </c>
      <c r="J258" s="372">
        <f>(I258+I259)/2</f>
        <v>15.202428243149441</v>
      </c>
    </row>
    <row r="259" spans="1:10" ht="13.5" thickBot="1">
      <c r="A259" s="282">
        <v>5</v>
      </c>
      <c r="B259" s="280" t="s">
        <v>60</v>
      </c>
      <c r="C259" s="279" t="s">
        <v>66</v>
      </c>
      <c r="D259" s="269">
        <v>76</v>
      </c>
      <c r="E259" s="269">
        <v>87.95</v>
      </c>
      <c r="F259" s="26">
        <f t="shared" si="2"/>
        <v>15.72368421052633</v>
      </c>
      <c r="G259" s="357"/>
      <c r="H259" s="94">
        <v>99.77</v>
      </c>
      <c r="I259" s="325">
        <f>100/E259*H259-100</f>
        <v>13.439454235360984</v>
      </c>
      <c r="J259" s="373"/>
    </row>
    <row r="260" spans="1:10" ht="13.5" thickBot="1">
      <c r="A260" s="282">
        <v>6</v>
      </c>
      <c r="B260" s="280" t="s">
        <v>61</v>
      </c>
      <c r="C260" s="279" t="s">
        <v>353</v>
      </c>
      <c r="D260" s="279">
        <v>48.68</v>
      </c>
      <c r="E260" s="279">
        <v>53.3</v>
      </c>
      <c r="F260" s="26">
        <f t="shared" si="2"/>
        <v>9.490550534100237</v>
      </c>
      <c r="G260" s="326">
        <v>9.49</v>
      </c>
      <c r="H260" s="322">
        <v>60.5</v>
      </c>
      <c r="I260" s="323">
        <f>100/E260*H260-100</f>
        <v>13.508442776735464</v>
      </c>
      <c r="J260" s="105">
        <v>13.51</v>
      </c>
    </row>
    <row r="261" spans="1:10" ht="12.75">
      <c r="A261" s="374">
        <v>7</v>
      </c>
      <c r="B261" s="362" t="s">
        <v>62</v>
      </c>
      <c r="C261" s="287" t="s">
        <v>355</v>
      </c>
      <c r="D261" s="287">
        <v>10.3</v>
      </c>
      <c r="E261" s="287">
        <v>11.45</v>
      </c>
      <c r="F261" s="288">
        <f>100/D261*E261-100</f>
        <v>11.16504854368931</v>
      </c>
      <c r="G261" s="358">
        <f>(F261+F262)/2</f>
        <v>10.113192084971622</v>
      </c>
      <c r="H261" s="236">
        <v>14.1</v>
      </c>
      <c r="I261" s="236">
        <f>100/E261*H261-100</f>
        <v>23.144104803493462</v>
      </c>
      <c r="J261" s="372">
        <f>(I261+I262)/2</f>
        <v>16.99628009316494</v>
      </c>
    </row>
    <row r="262" spans="1:10" ht="13.5" thickBot="1">
      <c r="A262" s="375"/>
      <c r="B262" s="363"/>
      <c r="C262" s="283" t="s">
        <v>352</v>
      </c>
      <c r="D262" s="283">
        <v>697.8</v>
      </c>
      <c r="E262" s="283">
        <v>761.03</v>
      </c>
      <c r="F262" s="20">
        <f t="shared" si="2"/>
        <v>9.061335626253936</v>
      </c>
      <c r="G262" s="357"/>
      <c r="H262" s="95">
        <v>843.59</v>
      </c>
      <c r="I262" s="95">
        <f>100/E262*H262-100</f>
        <v>10.84845538283642</v>
      </c>
      <c r="J262" s="373"/>
    </row>
    <row r="264" spans="2:6" ht="12.75">
      <c r="B264" s="1"/>
      <c r="C264" s="316" t="s">
        <v>111</v>
      </c>
      <c r="D264" s="1" t="s">
        <v>420</v>
      </c>
      <c r="E264" s="16" t="s">
        <v>91</v>
      </c>
      <c r="F264" s="16" t="s">
        <v>421</v>
      </c>
    </row>
    <row r="265" spans="2:6" ht="12.75">
      <c r="B265" s="1" t="s">
        <v>415</v>
      </c>
      <c r="C265" s="16">
        <v>63</v>
      </c>
      <c r="D265" s="317"/>
      <c r="E265" s="317">
        <v>9.83</v>
      </c>
      <c r="F265" s="16">
        <f>C265*E265</f>
        <v>619.29</v>
      </c>
    </row>
    <row r="266" spans="2:6" ht="12.75">
      <c r="B266" s="1" t="s">
        <v>416</v>
      </c>
      <c r="C266" s="16">
        <v>63</v>
      </c>
      <c r="D266" s="317"/>
      <c r="E266" s="317">
        <v>4.78</v>
      </c>
      <c r="F266" s="16">
        <f>C266*E266</f>
        <v>301.14000000000004</v>
      </c>
    </row>
    <row r="267" spans="2:10" ht="12.75">
      <c r="B267" s="1" t="s">
        <v>417</v>
      </c>
      <c r="C267" s="16">
        <v>63</v>
      </c>
      <c r="D267" s="317"/>
      <c r="E267" s="317">
        <v>0.23</v>
      </c>
      <c r="F267" s="16">
        <f>C267*E267</f>
        <v>14.49</v>
      </c>
      <c r="J267" s="82"/>
    </row>
    <row r="268" spans="2:6" ht="12.75">
      <c r="B268" s="1" t="s">
        <v>418</v>
      </c>
      <c r="C268" s="16">
        <v>63</v>
      </c>
      <c r="D268" s="317"/>
      <c r="E268" s="317">
        <v>0</v>
      </c>
      <c r="F268" s="16">
        <f>C268*E268</f>
        <v>0</v>
      </c>
    </row>
    <row r="269" spans="2:6" ht="12.75">
      <c r="B269" s="1" t="s">
        <v>120</v>
      </c>
      <c r="C269" s="16">
        <v>63</v>
      </c>
      <c r="D269" s="317"/>
      <c r="E269" s="317">
        <v>22.78</v>
      </c>
      <c r="F269" s="16">
        <f>C269*E269</f>
        <v>1435.14</v>
      </c>
    </row>
    <row r="270" spans="2:6" ht="12.75">
      <c r="B270" s="1" t="s">
        <v>121</v>
      </c>
      <c r="C270" s="16"/>
      <c r="D270" s="317">
        <v>4</v>
      </c>
      <c r="E270" s="317">
        <v>257.62</v>
      </c>
      <c r="F270" s="16">
        <f>E270*D270</f>
        <v>1030.48</v>
      </c>
    </row>
    <row r="271" spans="2:6" ht="12.75">
      <c r="B271" s="1" t="s">
        <v>130</v>
      </c>
      <c r="C271" s="16"/>
      <c r="D271" s="317">
        <v>4</v>
      </c>
      <c r="E271" s="317">
        <v>56.12</v>
      </c>
      <c r="F271" s="16">
        <f>E271*D271</f>
        <v>224.48</v>
      </c>
    </row>
    <row r="272" spans="2:6" ht="12.75">
      <c r="B272" s="1" t="s">
        <v>419</v>
      </c>
      <c r="C272" s="16"/>
      <c r="D272" s="317">
        <v>4</v>
      </c>
      <c r="E272" s="317">
        <v>99.77</v>
      </c>
      <c r="F272" s="16">
        <f>E272*D272</f>
        <v>399.08</v>
      </c>
    </row>
    <row r="273" ht="12.75">
      <c r="F273" s="82">
        <f>SUM(F265:F272)</f>
        <v>4024.1000000000004</v>
      </c>
    </row>
    <row r="274" spans="5:6" ht="12.75">
      <c r="E274" s="319" t="s">
        <v>10</v>
      </c>
      <c r="F274" s="318">
        <f>F273/C265</f>
        <v>63.87460317460318</v>
      </c>
    </row>
  </sheetData>
  <sheetProtection/>
  <mergeCells count="70">
    <mergeCell ref="G227:G228"/>
    <mergeCell ref="G224:G225"/>
    <mergeCell ref="A154:F154"/>
    <mergeCell ref="A148:F148"/>
    <mergeCell ref="A150:F150"/>
    <mergeCell ref="A152:F152"/>
    <mergeCell ref="A153:F153"/>
    <mergeCell ref="G220:G222"/>
    <mergeCell ref="A214:G214"/>
    <mergeCell ref="G217:G219"/>
    <mergeCell ref="A83:F83"/>
    <mergeCell ref="A84:F84"/>
    <mergeCell ref="A127:F127"/>
    <mergeCell ref="A129:F129"/>
    <mergeCell ref="A130:F130"/>
    <mergeCell ref="A131:F131"/>
    <mergeCell ref="A61:F61"/>
    <mergeCell ref="A101:F101"/>
    <mergeCell ref="A103:F103"/>
    <mergeCell ref="A125:F125"/>
    <mergeCell ref="A107:F107"/>
    <mergeCell ref="A105:F105"/>
    <mergeCell ref="A106:F106"/>
    <mergeCell ref="A78:F78"/>
    <mergeCell ref="A80:F80"/>
    <mergeCell ref="A82:F82"/>
    <mergeCell ref="A36:F36"/>
    <mergeCell ref="A37:F37"/>
    <mergeCell ref="A55:F55"/>
    <mergeCell ref="A57:F57"/>
    <mergeCell ref="A59:F59"/>
    <mergeCell ref="A60:F60"/>
    <mergeCell ref="A172:F172"/>
    <mergeCell ref="A174:F174"/>
    <mergeCell ref="A176:F176"/>
    <mergeCell ref="A177:F177"/>
    <mergeCell ref="A1:F1"/>
    <mergeCell ref="A2:F2"/>
    <mergeCell ref="A17:F17"/>
    <mergeCell ref="A18:F18"/>
    <mergeCell ref="A19:F19"/>
    <mergeCell ref="A35:F35"/>
    <mergeCell ref="A230:F230"/>
    <mergeCell ref="A231:F231"/>
    <mergeCell ref="A232:F232"/>
    <mergeCell ref="A178:F178"/>
    <mergeCell ref="A211:F211"/>
    <mergeCell ref="A212:F212"/>
    <mergeCell ref="A213:F213"/>
    <mergeCell ref="B227:B228"/>
    <mergeCell ref="A227:A228"/>
    <mergeCell ref="A249:J249"/>
    <mergeCell ref="J261:J262"/>
    <mergeCell ref="A244:A245"/>
    <mergeCell ref="B244:B245"/>
    <mergeCell ref="G244:G245"/>
    <mergeCell ref="J252:J254"/>
    <mergeCell ref="A261:A262"/>
    <mergeCell ref="J258:J259"/>
    <mergeCell ref="G255:G257"/>
    <mergeCell ref="G252:G254"/>
    <mergeCell ref="G258:G259"/>
    <mergeCell ref="J255:J257"/>
    <mergeCell ref="B261:B262"/>
    <mergeCell ref="G261:G262"/>
    <mergeCell ref="G235:G237"/>
    <mergeCell ref="G238:G240"/>
    <mergeCell ref="G241:G242"/>
    <mergeCell ref="A247:J247"/>
    <mergeCell ref="A248:J248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O26" sqref="O26"/>
    </sheetView>
  </sheetViews>
  <sheetFormatPr defaultColWidth="9.00390625" defaultRowHeight="12.75"/>
  <cols>
    <col min="1" max="1" width="16.125" style="0" customWidth="1"/>
    <col min="2" max="2" width="7.25390625" style="0" customWidth="1"/>
    <col min="3" max="3" width="7.625" style="0" customWidth="1"/>
    <col min="4" max="4" width="6.75390625" style="0" customWidth="1"/>
    <col min="5" max="5" width="8.75390625" style="0" customWidth="1"/>
    <col min="6" max="6" width="7.375" style="0" customWidth="1"/>
    <col min="7" max="7" width="7.25390625" style="0" customWidth="1"/>
    <col min="8" max="8" width="7.625" style="0" customWidth="1"/>
    <col min="9" max="9" width="7.25390625" style="0" customWidth="1"/>
    <col min="10" max="10" width="8.00390625" style="0" customWidth="1"/>
    <col min="11" max="12" width="7.375" style="0" customWidth="1"/>
    <col min="13" max="13" width="7.25390625" style="0" customWidth="1"/>
    <col min="14" max="14" width="6.625" style="0" customWidth="1"/>
    <col min="15" max="15" width="8.00390625" style="0" customWidth="1"/>
  </cols>
  <sheetData>
    <row r="1" spans="1:16" ht="12.75">
      <c r="A1" s="378" t="s">
        <v>116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</row>
    <row r="3" ht="13.5" thickBot="1">
      <c r="A3" t="s">
        <v>84</v>
      </c>
    </row>
    <row r="4" spans="1:10" ht="13.5" thickBot="1">
      <c r="A4" s="84"/>
      <c r="B4" s="110" t="s">
        <v>111</v>
      </c>
      <c r="C4" s="101" t="s">
        <v>85</v>
      </c>
      <c r="D4" s="102" t="s">
        <v>86</v>
      </c>
      <c r="E4" s="103" t="s">
        <v>87</v>
      </c>
      <c r="F4" s="105" t="s">
        <v>43</v>
      </c>
      <c r="G4" s="104" t="s">
        <v>88</v>
      </c>
      <c r="H4" s="103" t="s">
        <v>89</v>
      </c>
      <c r="I4" s="105" t="s">
        <v>44</v>
      </c>
      <c r="J4" s="105" t="s">
        <v>90</v>
      </c>
    </row>
    <row r="5" spans="1:10" ht="12.75">
      <c r="A5" s="108" t="s">
        <v>112</v>
      </c>
      <c r="B5" s="109">
        <v>2370.14</v>
      </c>
      <c r="C5" s="96">
        <v>3240.45</v>
      </c>
      <c r="D5" s="97">
        <v>249.29</v>
      </c>
      <c r="E5" s="98">
        <v>249.29</v>
      </c>
      <c r="F5" s="99">
        <f>C5+D5+E5</f>
        <v>3739.0299999999997</v>
      </c>
      <c r="G5" s="100">
        <v>1089.77</v>
      </c>
      <c r="H5" s="98">
        <v>582.42</v>
      </c>
      <c r="I5" s="99">
        <f>G5+H5</f>
        <v>1672.19</v>
      </c>
      <c r="J5" s="99">
        <f>F5+I5</f>
        <v>5411.219999999999</v>
      </c>
    </row>
    <row r="6" spans="1:10" ht="13.5" thickBot="1">
      <c r="A6" s="85" t="s">
        <v>113</v>
      </c>
      <c r="B6" s="107">
        <v>289.34</v>
      </c>
      <c r="C6" s="94">
        <f>C5/B5*B6</f>
        <v>395.5849878066274</v>
      </c>
      <c r="D6" s="91">
        <f>D5/B5*B6</f>
        <v>30.432619423325203</v>
      </c>
      <c r="E6" s="92">
        <f>E5/B5*B6</f>
        <v>30.432619423325203</v>
      </c>
      <c r="F6" s="95">
        <f>C6+D6+E6</f>
        <v>456.4502266532778</v>
      </c>
      <c r="G6" s="93">
        <f>G5/B5*B6</f>
        <v>133.03604504375267</v>
      </c>
      <c r="H6" s="92">
        <f>H5/B5*B6</f>
        <v>71.10018935590301</v>
      </c>
      <c r="I6" s="95">
        <f>G6+H6</f>
        <v>204.13623439965568</v>
      </c>
      <c r="J6" s="106">
        <f>F6+I6</f>
        <v>660.5864610529335</v>
      </c>
    </row>
    <row r="7" spans="1:10" ht="12.75">
      <c r="A7" s="4"/>
      <c r="B7" s="114"/>
      <c r="C7" s="114"/>
      <c r="D7" s="114"/>
      <c r="E7" s="114"/>
      <c r="F7" s="114"/>
      <c r="G7" s="114"/>
      <c r="H7" s="114"/>
      <c r="I7" s="114"/>
      <c r="J7" s="115"/>
    </row>
    <row r="8" spans="1:10" ht="13.5" thickBot="1">
      <c r="A8" s="116" t="s">
        <v>115</v>
      </c>
      <c r="B8" s="114"/>
      <c r="C8" s="114"/>
      <c r="D8" s="114"/>
      <c r="E8" s="114"/>
      <c r="F8" s="114"/>
      <c r="G8" s="114"/>
      <c r="H8" s="114"/>
      <c r="I8" s="114"/>
      <c r="J8" s="115"/>
    </row>
    <row r="9" spans="1:15" ht="13.5" thickBot="1">
      <c r="A9" s="124"/>
      <c r="B9" s="380" t="s">
        <v>43</v>
      </c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2"/>
      <c r="N9" s="380" t="s">
        <v>44</v>
      </c>
      <c r="O9" s="383"/>
    </row>
    <row r="10" spans="1:15" ht="12.75">
      <c r="A10" s="60" t="s">
        <v>91</v>
      </c>
      <c r="B10" s="134" t="s">
        <v>88</v>
      </c>
      <c r="C10" s="135" t="s">
        <v>89</v>
      </c>
      <c r="D10" s="135" t="s">
        <v>92</v>
      </c>
      <c r="E10" s="135" t="s">
        <v>93</v>
      </c>
      <c r="F10" s="135" t="s">
        <v>94</v>
      </c>
      <c r="G10" s="135" t="s">
        <v>95</v>
      </c>
      <c r="H10" s="135" t="s">
        <v>96</v>
      </c>
      <c r="I10" s="135" t="s">
        <v>97</v>
      </c>
      <c r="J10" s="135" t="s">
        <v>98</v>
      </c>
      <c r="K10" s="135" t="s">
        <v>99</v>
      </c>
      <c r="L10" s="135" t="s">
        <v>86</v>
      </c>
      <c r="M10" s="136" t="s">
        <v>87</v>
      </c>
      <c r="N10" s="137" t="s">
        <v>88</v>
      </c>
      <c r="O10" s="138" t="s">
        <v>89</v>
      </c>
    </row>
    <row r="11" spans="1:15" ht="12.75">
      <c r="A11" s="60" t="s">
        <v>100</v>
      </c>
      <c r="B11" s="112">
        <v>0</v>
      </c>
      <c r="C11" s="16">
        <v>12.14</v>
      </c>
      <c r="D11" s="16">
        <v>12.14</v>
      </c>
      <c r="E11" s="16">
        <v>0</v>
      </c>
      <c r="F11" s="16">
        <v>0</v>
      </c>
      <c r="G11" s="16">
        <v>7.89</v>
      </c>
      <c r="H11" s="16">
        <v>0</v>
      </c>
      <c r="I11" s="16">
        <v>0</v>
      </c>
      <c r="J11" s="16">
        <v>0</v>
      </c>
      <c r="K11" s="16">
        <v>1.01</v>
      </c>
      <c r="L11" s="16">
        <v>7.26</v>
      </c>
      <c r="M11" s="129">
        <v>14.69</v>
      </c>
      <c r="N11" s="131">
        <v>19.85</v>
      </c>
      <c r="O11" s="120">
        <v>20.14</v>
      </c>
    </row>
    <row r="12" spans="1:15" ht="12.75">
      <c r="A12" s="60" t="s">
        <v>101</v>
      </c>
      <c r="B12" s="112">
        <v>167.42</v>
      </c>
      <c r="C12" s="16">
        <v>167.42</v>
      </c>
      <c r="D12" s="16">
        <v>167.42</v>
      </c>
      <c r="E12" s="16">
        <v>167.42</v>
      </c>
      <c r="F12" s="16">
        <v>167.42</v>
      </c>
      <c r="G12" s="16">
        <v>167.42</v>
      </c>
      <c r="H12" s="16">
        <v>167.42</v>
      </c>
      <c r="I12" s="16">
        <v>167.42</v>
      </c>
      <c r="J12" s="16">
        <v>167.42</v>
      </c>
      <c r="K12" s="16">
        <v>167.42</v>
      </c>
      <c r="L12" s="16">
        <v>167.42</v>
      </c>
      <c r="M12" s="129">
        <v>167.42</v>
      </c>
      <c r="N12" s="131">
        <v>207.28</v>
      </c>
      <c r="O12" s="120">
        <v>207.28</v>
      </c>
    </row>
    <row r="13" spans="1:15" ht="12.75">
      <c r="A13" s="60" t="s">
        <v>102</v>
      </c>
      <c r="B13" s="112">
        <v>31.95</v>
      </c>
      <c r="C13" s="16">
        <v>31.95</v>
      </c>
      <c r="D13" s="16">
        <v>31.95</v>
      </c>
      <c r="E13" s="16">
        <v>31.95</v>
      </c>
      <c r="F13" s="16">
        <v>31.95</v>
      </c>
      <c r="G13" s="16">
        <v>31.95</v>
      </c>
      <c r="H13" s="16">
        <v>31.95</v>
      </c>
      <c r="I13" s="16">
        <v>31.95</v>
      </c>
      <c r="J13" s="16">
        <v>31.95</v>
      </c>
      <c r="K13" s="16">
        <v>31.95</v>
      </c>
      <c r="L13" s="16">
        <v>31.95</v>
      </c>
      <c r="M13" s="129">
        <v>31.95</v>
      </c>
      <c r="N13" s="131">
        <v>43.17</v>
      </c>
      <c r="O13" s="120">
        <v>43.17</v>
      </c>
    </row>
    <row r="14" spans="1:15" ht="13.5" thickBot="1">
      <c r="A14" s="85" t="s">
        <v>105</v>
      </c>
      <c r="B14" s="113">
        <v>63.41</v>
      </c>
      <c r="C14" s="19">
        <v>63.41</v>
      </c>
      <c r="D14" s="19">
        <v>63.41</v>
      </c>
      <c r="E14" s="19">
        <v>63.41</v>
      </c>
      <c r="F14" s="19">
        <v>63.41</v>
      </c>
      <c r="G14" s="19">
        <v>63.41</v>
      </c>
      <c r="H14" s="19">
        <v>63.41</v>
      </c>
      <c r="I14" s="19">
        <v>63.41</v>
      </c>
      <c r="J14" s="19">
        <v>63.41</v>
      </c>
      <c r="K14" s="19">
        <v>63.41</v>
      </c>
      <c r="L14" s="19">
        <v>63.41</v>
      </c>
      <c r="M14" s="130">
        <v>63.41</v>
      </c>
      <c r="N14" s="132">
        <v>76</v>
      </c>
      <c r="O14" s="122">
        <v>76</v>
      </c>
    </row>
    <row r="15" spans="2:15" ht="13.5" thickBot="1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</row>
    <row r="16" spans="1:16" ht="13.5" thickBot="1">
      <c r="A16" s="124"/>
      <c r="B16" s="380" t="s">
        <v>43</v>
      </c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2"/>
      <c r="N16" s="380" t="s">
        <v>44</v>
      </c>
      <c r="O16" s="383"/>
      <c r="P16" s="124"/>
    </row>
    <row r="17" spans="1:16" ht="12.75">
      <c r="A17" s="60"/>
      <c r="B17" s="134" t="s">
        <v>88</v>
      </c>
      <c r="C17" s="135" t="s">
        <v>89</v>
      </c>
      <c r="D17" s="135" t="s">
        <v>92</v>
      </c>
      <c r="E17" s="135" t="s">
        <v>93</v>
      </c>
      <c r="F17" s="135" t="s">
        <v>94</v>
      </c>
      <c r="G17" s="135" t="s">
        <v>95</v>
      </c>
      <c r="H17" s="135" t="s">
        <v>96</v>
      </c>
      <c r="I17" s="135" t="s">
        <v>97</v>
      </c>
      <c r="J17" s="135" t="s">
        <v>98</v>
      </c>
      <c r="K17" s="135" t="s">
        <v>99</v>
      </c>
      <c r="L17" s="135" t="s">
        <v>86</v>
      </c>
      <c r="M17" s="136" t="s">
        <v>87</v>
      </c>
      <c r="N17" s="117" t="s">
        <v>88</v>
      </c>
      <c r="O17" s="123" t="s">
        <v>89</v>
      </c>
      <c r="P17" s="60" t="s">
        <v>90</v>
      </c>
    </row>
    <row r="18" spans="1:16" ht="12.75">
      <c r="A18" s="60" t="s">
        <v>104</v>
      </c>
      <c r="B18" s="111">
        <f>B6*B11</f>
        <v>0</v>
      </c>
      <c r="C18" s="1">
        <f>C11*B6</f>
        <v>3512.5876</v>
      </c>
      <c r="D18" s="1">
        <f>D11*B6</f>
        <v>3512.5876</v>
      </c>
      <c r="E18" s="1">
        <f>E11*B6</f>
        <v>0</v>
      </c>
      <c r="F18" s="1">
        <f>F11*B6</f>
        <v>0</v>
      </c>
      <c r="G18" s="1">
        <f>G11*B6</f>
        <v>2282.8925999999997</v>
      </c>
      <c r="H18" s="1">
        <f>H11*B6</f>
        <v>0</v>
      </c>
      <c r="I18" s="1">
        <f>I11*B6</f>
        <v>0</v>
      </c>
      <c r="J18" s="1">
        <f>J11*B6</f>
        <v>0</v>
      </c>
      <c r="K18" s="1">
        <f>K11*B6</f>
        <v>292.23339999999996</v>
      </c>
      <c r="L18" s="1">
        <f>L11*B6</f>
        <v>2100.6083999999996</v>
      </c>
      <c r="M18" s="127">
        <f>M11*B6</f>
        <v>4250.4046</v>
      </c>
      <c r="N18" s="118">
        <f>N11*B6</f>
        <v>5743.399</v>
      </c>
      <c r="O18" s="119">
        <f>O11*B6</f>
        <v>5827.3076</v>
      </c>
      <c r="P18" s="60">
        <f>B18+C18+D18+E18+F18+G18+I18+H18+J18+K18+L18+M18+N18+O18</f>
        <v>27522.0208</v>
      </c>
    </row>
    <row r="19" spans="1:16" ht="12.75">
      <c r="A19" s="126" t="s">
        <v>103</v>
      </c>
      <c r="B19" s="111">
        <f>(B12+B13+B14)*19</f>
        <v>4992.82</v>
      </c>
      <c r="C19" s="1">
        <f aca="true" t="shared" si="0" ref="C19:M19">(C12+C13+C14)*19</f>
        <v>4992.82</v>
      </c>
      <c r="D19" s="1">
        <f t="shared" si="0"/>
        <v>4992.82</v>
      </c>
      <c r="E19" s="1">
        <f t="shared" si="0"/>
        <v>4992.82</v>
      </c>
      <c r="F19" s="1">
        <f t="shared" si="0"/>
        <v>4992.82</v>
      </c>
      <c r="G19" s="1">
        <f t="shared" si="0"/>
        <v>4992.82</v>
      </c>
      <c r="H19" s="1">
        <f t="shared" si="0"/>
        <v>4992.82</v>
      </c>
      <c r="I19" s="1">
        <f t="shared" si="0"/>
        <v>4992.82</v>
      </c>
      <c r="J19" s="1">
        <f t="shared" si="0"/>
        <v>4992.82</v>
      </c>
      <c r="K19" s="1">
        <f t="shared" si="0"/>
        <v>4992.82</v>
      </c>
      <c r="L19" s="1">
        <f t="shared" si="0"/>
        <v>4992.82</v>
      </c>
      <c r="M19" s="127">
        <f t="shared" si="0"/>
        <v>4992.82</v>
      </c>
      <c r="N19" s="118">
        <f>(N12+N13+N14)*3</f>
        <v>979.3499999999999</v>
      </c>
      <c r="O19" s="119">
        <f>(O12+O13+O14)*3</f>
        <v>979.3499999999999</v>
      </c>
      <c r="P19" s="60">
        <f>B19+C19+D19+E19+F19+G19+I19+H19+J19+K19+L19+M19+N19+O19</f>
        <v>61872.53999999999</v>
      </c>
    </row>
    <row r="20" spans="1:16" ht="13.5" thickBot="1">
      <c r="A20" s="85"/>
      <c r="B20" s="125"/>
      <c r="C20" s="2"/>
      <c r="D20" s="2"/>
      <c r="E20" s="2"/>
      <c r="F20" s="2"/>
      <c r="G20" s="2"/>
      <c r="H20" s="2"/>
      <c r="I20" s="2"/>
      <c r="J20" s="2"/>
      <c r="K20" s="2"/>
      <c r="L20" s="2"/>
      <c r="M20" s="128"/>
      <c r="N20" s="121"/>
      <c r="O20" s="139"/>
      <c r="P20" s="62">
        <f>SUM(P18:P19)</f>
        <v>89394.56079999999</v>
      </c>
    </row>
    <row r="22" ht="12.75">
      <c r="A22" t="s">
        <v>106</v>
      </c>
    </row>
    <row r="23" ht="12.75">
      <c r="A23" t="s">
        <v>107</v>
      </c>
    </row>
    <row r="24" spans="1:16" ht="24.75" customHeight="1">
      <c r="A24" s="379" t="s">
        <v>114</v>
      </c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</row>
    <row r="25" spans="1:16" ht="24.7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</row>
    <row r="26" spans="1:5" ht="12.75">
      <c r="A26" s="28" t="s">
        <v>108</v>
      </c>
      <c r="B26" s="28"/>
      <c r="C26" s="28"/>
      <c r="D26" s="28">
        <v>660.59</v>
      </c>
      <c r="E26" s="28" t="s">
        <v>83</v>
      </c>
    </row>
    <row r="28" spans="1:6" ht="12.75">
      <c r="A28" s="28" t="s">
        <v>109</v>
      </c>
      <c r="B28" s="28"/>
      <c r="C28" s="28"/>
      <c r="D28" s="28"/>
      <c r="E28" s="28">
        <v>89394.56</v>
      </c>
      <c r="F28" s="28" t="s">
        <v>83</v>
      </c>
    </row>
    <row r="30" spans="1:6" ht="12.75">
      <c r="A30" s="28" t="s">
        <v>110</v>
      </c>
      <c r="B30" s="28"/>
      <c r="C30" s="28"/>
      <c r="D30" s="28"/>
      <c r="E30" s="28">
        <f>D26+E28</f>
        <v>90055.15</v>
      </c>
      <c r="F30" s="28" t="s">
        <v>83</v>
      </c>
    </row>
  </sheetData>
  <sheetProtection/>
  <mergeCells count="6">
    <mergeCell ref="A24:P24"/>
    <mergeCell ref="A1:P1"/>
    <mergeCell ref="B9:M9"/>
    <mergeCell ref="N9:O9"/>
    <mergeCell ref="B16:M16"/>
    <mergeCell ref="N16:O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3.00390625" style="0" customWidth="1"/>
    <col min="2" max="2" width="52.625" style="0" customWidth="1"/>
    <col min="3" max="4" width="21.375" style="0" customWidth="1"/>
    <col min="5" max="7" width="8.875" style="0" customWidth="1"/>
    <col min="8" max="9" width="7.875" style="0" customWidth="1"/>
  </cols>
  <sheetData>
    <row r="1" spans="1:4" ht="15.75">
      <c r="A1" s="391" t="s">
        <v>183</v>
      </c>
      <c r="B1" s="391"/>
      <c r="C1" s="391"/>
      <c r="D1" s="391"/>
    </row>
    <row r="2" spans="1:4" ht="13.5" thickBot="1">
      <c r="A2" s="204"/>
      <c r="B2" s="204"/>
      <c r="C2" s="204"/>
      <c r="D2" s="204"/>
    </row>
    <row r="3" spans="1:14" ht="25.5" customHeight="1" thickBot="1">
      <c r="A3" s="384" t="s">
        <v>4</v>
      </c>
      <c r="B3" s="386" t="s">
        <v>188</v>
      </c>
      <c r="C3" s="392" t="s">
        <v>184</v>
      </c>
      <c r="D3" s="393"/>
      <c r="E3" s="179" t="s">
        <v>177</v>
      </c>
      <c r="F3" s="88" t="s">
        <v>178</v>
      </c>
      <c r="G3" s="178" t="s">
        <v>175</v>
      </c>
      <c r="H3" s="88" t="s">
        <v>176</v>
      </c>
      <c r="I3" s="58" t="s">
        <v>189</v>
      </c>
      <c r="J3" s="178" t="s">
        <v>177</v>
      </c>
      <c r="K3" s="88" t="s">
        <v>178</v>
      </c>
      <c r="L3" s="178" t="s">
        <v>175</v>
      </c>
      <c r="M3" s="88" t="s">
        <v>176</v>
      </c>
      <c r="N3" s="88" t="s">
        <v>189</v>
      </c>
    </row>
    <row r="4" spans="1:14" ht="25.5" customHeight="1" thickBot="1">
      <c r="A4" s="385"/>
      <c r="B4" s="387"/>
      <c r="C4" s="200" t="s">
        <v>185</v>
      </c>
      <c r="D4" s="199" t="s">
        <v>186</v>
      </c>
      <c r="E4" s="209">
        <v>129139</v>
      </c>
      <c r="F4" s="210">
        <v>220655</v>
      </c>
      <c r="G4" s="211">
        <v>154257</v>
      </c>
      <c r="H4" s="210">
        <v>74314</v>
      </c>
      <c r="I4" s="210">
        <v>28047.13</v>
      </c>
      <c r="J4" s="388" t="s">
        <v>179</v>
      </c>
      <c r="K4" s="389"/>
      <c r="L4" s="389"/>
      <c r="M4" s="389"/>
      <c r="N4" s="390"/>
    </row>
    <row r="5" spans="1:14" ht="12.75">
      <c r="A5" s="201">
        <v>1</v>
      </c>
      <c r="B5" s="124" t="s">
        <v>181</v>
      </c>
      <c r="C5" s="180">
        <v>14</v>
      </c>
      <c r="D5" s="180">
        <v>14</v>
      </c>
      <c r="E5" s="184">
        <f>E4/100*C5</f>
        <v>18079.460000000003</v>
      </c>
      <c r="F5" s="185">
        <f>F4/100*C5</f>
        <v>30891.700000000004</v>
      </c>
      <c r="G5" s="184">
        <f>G4/100*C5</f>
        <v>21595.98</v>
      </c>
      <c r="H5" s="205">
        <f>H4/100*C5</f>
        <v>10403.96</v>
      </c>
      <c r="I5" s="205">
        <f>I4/100*D5</f>
        <v>3926.5982</v>
      </c>
      <c r="J5" s="208">
        <f>E5*12</f>
        <v>216953.52000000002</v>
      </c>
      <c r="K5" s="187">
        <f>F5*12</f>
        <v>370700.4</v>
      </c>
      <c r="L5" s="186">
        <f>G5*12</f>
        <v>259151.76</v>
      </c>
      <c r="M5" s="187">
        <f>H5*12</f>
        <v>124847.51999999999</v>
      </c>
      <c r="N5" s="185">
        <f>I5*12</f>
        <v>47119.1784</v>
      </c>
    </row>
    <row r="6" spans="1:14" ht="12.75">
      <c r="A6" s="70">
        <v>2</v>
      </c>
      <c r="B6" s="60" t="s">
        <v>168</v>
      </c>
      <c r="C6" s="181">
        <v>0.1</v>
      </c>
      <c r="D6" s="181">
        <v>0.1</v>
      </c>
      <c r="E6" s="188">
        <f>E4/100*C6</f>
        <v>129.139</v>
      </c>
      <c r="F6" s="189">
        <f>F4/100*C6</f>
        <v>220.65500000000003</v>
      </c>
      <c r="G6" s="188">
        <f>G4/100*C6</f>
        <v>154.257</v>
      </c>
      <c r="H6" s="206">
        <f>H4/100*C6</f>
        <v>74.31400000000001</v>
      </c>
      <c r="I6" s="206">
        <f>I4/100*D6</f>
        <v>28.04713</v>
      </c>
      <c r="J6" s="191">
        <f aca="true" t="shared" si="0" ref="J6:J14">E6*12</f>
        <v>1549.6680000000001</v>
      </c>
      <c r="K6" s="191">
        <f aca="true" t="shared" si="1" ref="K6:K14">F6*12</f>
        <v>2647.8600000000006</v>
      </c>
      <c r="L6" s="190">
        <f aca="true" t="shared" si="2" ref="L6:L14">G6*12</f>
        <v>1851.084</v>
      </c>
      <c r="M6" s="191">
        <f aca="true" t="shared" si="3" ref="M6:M14">H6*12</f>
        <v>891.768</v>
      </c>
      <c r="N6" s="185">
        <f aca="true" t="shared" si="4" ref="N6:N15">I6*12</f>
        <v>336.56556</v>
      </c>
    </row>
    <row r="7" spans="1:14" ht="12.75">
      <c r="A7" s="70">
        <v>3</v>
      </c>
      <c r="B7" s="60" t="s">
        <v>180</v>
      </c>
      <c r="C7" s="181">
        <v>0.1</v>
      </c>
      <c r="D7" s="181">
        <v>0.1</v>
      </c>
      <c r="E7" s="188">
        <f>E4/100*C7</f>
        <v>129.139</v>
      </c>
      <c r="F7" s="189">
        <f>F4/100*C7</f>
        <v>220.65500000000003</v>
      </c>
      <c r="G7" s="188">
        <f>G4/100*C7</f>
        <v>154.257</v>
      </c>
      <c r="H7" s="206">
        <f>H4/100*C7</f>
        <v>74.31400000000001</v>
      </c>
      <c r="I7" s="206">
        <f>I4/100*D7</f>
        <v>28.04713</v>
      </c>
      <c r="J7" s="191">
        <f t="shared" si="0"/>
        <v>1549.6680000000001</v>
      </c>
      <c r="K7" s="191">
        <f t="shared" si="1"/>
        <v>2647.8600000000006</v>
      </c>
      <c r="L7" s="190">
        <f t="shared" si="2"/>
        <v>1851.084</v>
      </c>
      <c r="M7" s="191">
        <f t="shared" si="3"/>
        <v>891.768</v>
      </c>
      <c r="N7" s="185">
        <f t="shared" si="4"/>
        <v>336.56556</v>
      </c>
    </row>
    <row r="8" spans="1:14" ht="12.75">
      <c r="A8" s="70">
        <v>4</v>
      </c>
      <c r="B8" s="60" t="s">
        <v>169</v>
      </c>
      <c r="C8" s="181">
        <v>2</v>
      </c>
      <c r="D8" s="181"/>
      <c r="E8" s="188">
        <f>E4/100*C8</f>
        <v>2582.78</v>
      </c>
      <c r="F8" s="189">
        <f>F4/100*C8</f>
        <v>4413.1</v>
      </c>
      <c r="G8" s="188">
        <f>G4/100*C8</f>
        <v>3085.14</v>
      </c>
      <c r="H8" s="206">
        <f>H4/100*C8</f>
        <v>1486.28</v>
      </c>
      <c r="I8" s="206">
        <f>I4/100*C8</f>
        <v>560.9426</v>
      </c>
      <c r="J8" s="191">
        <f t="shared" si="0"/>
        <v>30993.36</v>
      </c>
      <c r="K8" s="191">
        <f t="shared" si="1"/>
        <v>52957.200000000004</v>
      </c>
      <c r="L8" s="190">
        <f t="shared" si="2"/>
        <v>37021.68</v>
      </c>
      <c r="M8" s="191">
        <f t="shared" si="3"/>
        <v>17835.36</v>
      </c>
      <c r="N8" s="185">
        <f t="shared" si="4"/>
        <v>6731.3112</v>
      </c>
    </row>
    <row r="9" spans="1:14" ht="12.75">
      <c r="A9" s="70">
        <v>5</v>
      </c>
      <c r="B9" s="60" t="s">
        <v>170</v>
      </c>
      <c r="C9" s="181">
        <v>2.5</v>
      </c>
      <c r="D9" s="181">
        <v>2.5</v>
      </c>
      <c r="E9" s="188">
        <f>E4/100*C9</f>
        <v>3228.4750000000004</v>
      </c>
      <c r="F9" s="189">
        <f>F4/100*C9</f>
        <v>5516.375</v>
      </c>
      <c r="G9" s="188">
        <f>G4/100*C9</f>
        <v>3856.4249999999997</v>
      </c>
      <c r="H9" s="206">
        <f>H4/100*C9</f>
        <v>1857.85</v>
      </c>
      <c r="I9" s="206">
        <f>I4/100*D9</f>
        <v>701.1782499999999</v>
      </c>
      <c r="J9" s="191">
        <f t="shared" si="0"/>
        <v>38741.700000000004</v>
      </c>
      <c r="K9" s="191">
        <f t="shared" si="1"/>
        <v>66196.5</v>
      </c>
      <c r="L9" s="190">
        <f t="shared" si="2"/>
        <v>46277.1</v>
      </c>
      <c r="M9" s="191">
        <f t="shared" si="3"/>
        <v>22294.199999999997</v>
      </c>
      <c r="N9" s="185">
        <f t="shared" si="4"/>
        <v>8414.139</v>
      </c>
    </row>
    <row r="10" spans="1:14" ht="12.75">
      <c r="A10" s="70">
        <v>6</v>
      </c>
      <c r="B10" s="60" t="s">
        <v>171</v>
      </c>
      <c r="C10" s="181">
        <v>0.4</v>
      </c>
      <c r="D10" s="181">
        <v>0.4</v>
      </c>
      <c r="E10" s="188">
        <f>E4/100*C10</f>
        <v>516.556</v>
      </c>
      <c r="F10" s="189">
        <f>F4/100*C10</f>
        <v>882.6200000000001</v>
      </c>
      <c r="G10" s="188">
        <f>G4/100*C10</f>
        <v>617.028</v>
      </c>
      <c r="H10" s="206">
        <f>H4/100*C10</f>
        <v>297.25600000000003</v>
      </c>
      <c r="I10" s="206">
        <f>I4/100*D10</f>
        <v>112.18852</v>
      </c>
      <c r="J10" s="191">
        <f t="shared" si="0"/>
        <v>6198.6720000000005</v>
      </c>
      <c r="K10" s="191">
        <f t="shared" si="1"/>
        <v>10591.440000000002</v>
      </c>
      <c r="L10" s="190">
        <f t="shared" si="2"/>
        <v>7404.336</v>
      </c>
      <c r="M10" s="191">
        <f t="shared" si="3"/>
        <v>3567.072</v>
      </c>
      <c r="N10" s="185">
        <f t="shared" si="4"/>
        <v>1346.26224</v>
      </c>
    </row>
    <row r="11" spans="1:14" ht="12.75">
      <c r="A11" s="70">
        <v>7</v>
      </c>
      <c r="B11" s="60" t="s">
        <v>172</v>
      </c>
      <c r="C11" s="181">
        <v>1</v>
      </c>
      <c r="D11" s="181">
        <v>1</v>
      </c>
      <c r="E11" s="188">
        <f>E4/100*C11</f>
        <v>1291.39</v>
      </c>
      <c r="F11" s="189">
        <f>F4/100*C11</f>
        <v>2206.55</v>
      </c>
      <c r="G11" s="188">
        <f>G4/100*C11</f>
        <v>1542.57</v>
      </c>
      <c r="H11" s="206">
        <f>H4/100*C11</f>
        <v>743.14</v>
      </c>
      <c r="I11" s="206">
        <f>I4/100*D11</f>
        <v>280.4713</v>
      </c>
      <c r="J11" s="191">
        <f t="shared" si="0"/>
        <v>15496.68</v>
      </c>
      <c r="K11" s="191">
        <f t="shared" si="1"/>
        <v>26478.600000000002</v>
      </c>
      <c r="L11" s="190">
        <f t="shared" si="2"/>
        <v>18510.84</v>
      </c>
      <c r="M11" s="191">
        <f t="shared" si="3"/>
        <v>8917.68</v>
      </c>
      <c r="N11" s="185">
        <f t="shared" si="4"/>
        <v>3365.6556</v>
      </c>
    </row>
    <row r="12" spans="1:14" ht="12.75">
      <c r="A12" s="70">
        <v>8</v>
      </c>
      <c r="B12" s="60" t="s">
        <v>182</v>
      </c>
      <c r="C12" s="181">
        <v>0.4</v>
      </c>
      <c r="D12" s="181">
        <v>0.4</v>
      </c>
      <c r="E12" s="188">
        <f>E4/100*C12</f>
        <v>516.556</v>
      </c>
      <c r="F12" s="189">
        <f>F4/100*C12</f>
        <v>882.6200000000001</v>
      </c>
      <c r="G12" s="188">
        <f>G4/100*C12</f>
        <v>617.028</v>
      </c>
      <c r="H12" s="206">
        <f>H4/100*C12</f>
        <v>297.25600000000003</v>
      </c>
      <c r="I12" s="206">
        <f>I4/100*D12</f>
        <v>112.18852</v>
      </c>
      <c r="J12" s="191">
        <f>E12*12</f>
        <v>6198.6720000000005</v>
      </c>
      <c r="K12" s="191">
        <f>F12*12</f>
        <v>10591.440000000002</v>
      </c>
      <c r="L12" s="190">
        <f>G12*12</f>
        <v>7404.336</v>
      </c>
      <c r="M12" s="191">
        <f>H12*12</f>
        <v>3567.072</v>
      </c>
      <c r="N12" s="185">
        <f t="shared" si="4"/>
        <v>1346.26224</v>
      </c>
    </row>
    <row r="13" spans="1:14" ht="25.5" customHeight="1">
      <c r="A13" s="202">
        <v>9</v>
      </c>
      <c r="B13" s="86" t="s">
        <v>173</v>
      </c>
      <c r="C13" s="182">
        <v>0.3</v>
      </c>
      <c r="D13" s="182">
        <v>0.3</v>
      </c>
      <c r="E13" s="188">
        <f>E4/100*C13</f>
        <v>387.41700000000003</v>
      </c>
      <c r="F13" s="189">
        <f>F4/100*C13</f>
        <v>661.965</v>
      </c>
      <c r="G13" s="188">
        <f>G4/100*C13</f>
        <v>462.77099999999996</v>
      </c>
      <c r="H13" s="206">
        <f>H4/100*C13</f>
        <v>222.94199999999998</v>
      </c>
      <c r="I13" s="206">
        <f>I4/100*D13</f>
        <v>84.14138999999999</v>
      </c>
      <c r="J13" s="189">
        <f t="shared" si="0"/>
        <v>4649.004000000001</v>
      </c>
      <c r="K13" s="189">
        <f t="shared" si="1"/>
        <v>7943.58</v>
      </c>
      <c r="L13" s="188">
        <f t="shared" si="2"/>
        <v>5553.2519999999995</v>
      </c>
      <c r="M13" s="189">
        <f t="shared" si="3"/>
        <v>2675.3039999999996</v>
      </c>
      <c r="N13" s="185">
        <f t="shared" si="4"/>
        <v>1009.6966799999998</v>
      </c>
    </row>
    <row r="14" spans="1:14" ht="13.5" thickBot="1">
      <c r="A14" s="203">
        <v>10</v>
      </c>
      <c r="B14" s="85" t="s">
        <v>174</v>
      </c>
      <c r="C14" s="183">
        <v>0.2</v>
      </c>
      <c r="D14" s="183">
        <v>0.2</v>
      </c>
      <c r="E14" s="192">
        <f>E4/100*C14</f>
        <v>258.278</v>
      </c>
      <c r="F14" s="193">
        <f>F4/100*C14</f>
        <v>441.31000000000006</v>
      </c>
      <c r="G14" s="192">
        <f>G4/100*C14</f>
        <v>308.514</v>
      </c>
      <c r="H14" s="207">
        <f>H4/100*C14</f>
        <v>148.62800000000001</v>
      </c>
      <c r="I14" s="207">
        <f>I4/100*D14</f>
        <v>56.09426</v>
      </c>
      <c r="J14" s="195">
        <f t="shared" si="0"/>
        <v>3099.3360000000002</v>
      </c>
      <c r="K14" s="195">
        <f t="shared" si="1"/>
        <v>5295.720000000001</v>
      </c>
      <c r="L14" s="194">
        <f t="shared" si="2"/>
        <v>3702.168</v>
      </c>
      <c r="M14" s="195">
        <f t="shared" si="3"/>
        <v>1783.536</v>
      </c>
      <c r="N14" s="212">
        <f t="shared" si="4"/>
        <v>673.13112</v>
      </c>
    </row>
    <row r="15" spans="3:14" ht="13.5" thickBot="1">
      <c r="C15" s="58">
        <f aca="true" t="shared" si="5" ref="C15:M15">SUM(C5:C14)</f>
        <v>20.999999999999996</v>
      </c>
      <c r="D15" s="58">
        <f t="shared" si="5"/>
        <v>18.999999999999996</v>
      </c>
      <c r="E15" s="196">
        <f t="shared" si="5"/>
        <v>27119.190000000002</v>
      </c>
      <c r="F15" s="197">
        <f t="shared" si="5"/>
        <v>46337.55</v>
      </c>
      <c r="G15" s="198">
        <f t="shared" si="5"/>
        <v>32393.969999999998</v>
      </c>
      <c r="H15" s="196">
        <f t="shared" si="5"/>
        <v>15605.939999999999</v>
      </c>
      <c r="I15" s="196">
        <f t="shared" si="5"/>
        <v>5889.897299999999</v>
      </c>
      <c r="J15" s="197">
        <f t="shared" si="5"/>
        <v>325430.2800000001</v>
      </c>
      <c r="K15" s="197">
        <f t="shared" si="5"/>
        <v>556050.6</v>
      </c>
      <c r="L15" s="198">
        <f t="shared" si="5"/>
        <v>388727.64</v>
      </c>
      <c r="M15" s="197">
        <f t="shared" si="5"/>
        <v>187271.27999999994</v>
      </c>
      <c r="N15" s="210">
        <f t="shared" si="4"/>
        <v>70678.76759999999</v>
      </c>
    </row>
    <row r="16" spans="3:4" ht="12.75">
      <c r="C16" s="82"/>
      <c r="D16" s="82"/>
    </row>
    <row r="17" spans="1:4" ht="12.75">
      <c r="A17" t="s">
        <v>187</v>
      </c>
      <c r="C17" s="82"/>
      <c r="D17" s="82"/>
    </row>
    <row r="18" spans="3:4" ht="13.5" thickBot="1">
      <c r="C18" s="82"/>
      <c r="D18" s="82"/>
    </row>
    <row r="19" spans="1:4" ht="13.5" thickBot="1">
      <c r="A19" s="384" t="s">
        <v>4</v>
      </c>
      <c r="B19" s="386" t="s">
        <v>188</v>
      </c>
      <c r="C19" s="386" t="s">
        <v>184</v>
      </c>
      <c r="D19" s="200"/>
    </row>
    <row r="20" spans="1:4" ht="13.5" thickBot="1">
      <c r="A20" s="385"/>
      <c r="B20" s="387"/>
      <c r="C20" s="387"/>
      <c r="D20" s="200"/>
    </row>
    <row r="21" spans="1:4" ht="12.75">
      <c r="A21" s="201">
        <v>1</v>
      </c>
      <c r="B21" s="124" t="s">
        <v>181</v>
      </c>
      <c r="C21" s="180">
        <v>20</v>
      </c>
      <c r="D21" s="180"/>
    </row>
    <row r="22" spans="1:4" ht="12.75">
      <c r="A22" s="70">
        <v>2</v>
      </c>
      <c r="B22" s="60" t="s">
        <v>168</v>
      </c>
      <c r="C22" s="181">
        <v>1.1</v>
      </c>
      <c r="D22" s="181"/>
    </row>
    <row r="23" spans="1:4" ht="12.75">
      <c r="A23" s="70">
        <v>3</v>
      </c>
      <c r="B23" s="60" t="s">
        <v>180</v>
      </c>
      <c r="C23" s="181">
        <v>1.1</v>
      </c>
      <c r="D23" s="181"/>
    </row>
    <row r="24" spans="1:4" ht="12.75">
      <c r="A24" s="70">
        <v>4</v>
      </c>
      <c r="B24" s="60" t="s">
        <v>169</v>
      </c>
      <c r="C24" s="181">
        <v>2</v>
      </c>
      <c r="D24" s="181"/>
    </row>
    <row r="25" spans="1:4" ht="12.75">
      <c r="A25" s="70">
        <v>5</v>
      </c>
      <c r="B25" s="60" t="s">
        <v>170</v>
      </c>
      <c r="C25" s="181">
        <v>2.5</v>
      </c>
      <c r="D25" s="181"/>
    </row>
    <row r="26" spans="1:4" ht="12.75">
      <c r="A26" s="70">
        <v>6</v>
      </c>
      <c r="B26" s="60" t="s">
        <v>171</v>
      </c>
      <c r="C26" s="181">
        <v>1.4</v>
      </c>
      <c r="D26" s="181"/>
    </row>
    <row r="27" spans="1:4" ht="12.75">
      <c r="A27" s="70">
        <v>7</v>
      </c>
      <c r="B27" s="60" t="s">
        <v>172</v>
      </c>
      <c r="C27" s="181">
        <v>1</v>
      </c>
      <c r="D27" s="181"/>
    </row>
    <row r="28" spans="1:4" ht="12.75">
      <c r="A28" s="70">
        <v>8</v>
      </c>
      <c r="B28" s="60" t="s">
        <v>182</v>
      </c>
      <c r="C28" s="181">
        <v>1.4</v>
      </c>
      <c r="D28" s="181"/>
    </row>
    <row r="29" spans="1:4" ht="25.5" customHeight="1">
      <c r="A29" s="202">
        <v>9</v>
      </c>
      <c r="B29" s="86" t="s">
        <v>173</v>
      </c>
      <c r="C29" s="182">
        <v>1.3</v>
      </c>
      <c r="D29" s="182"/>
    </row>
    <row r="30" spans="1:4" ht="13.5" thickBot="1">
      <c r="A30" s="203">
        <v>10</v>
      </c>
      <c r="B30" s="85" t="s">
        <v>174</v>
      </c>
      <c r="C30" s="183">
        <v>1.2</v>
      </c>
      <c r="D30" s="183"/>
    </row>
    <row r="31" spans="3:4" ht="13.5" thickBot="1">
      <c r="C31" s="58">
        <f>SUM(C21:C30)</f>
        <v>33</v>
      </c>
      <c r="D31" s="58"/>
    </row>
    <row r="32" spans="3:4" ht="12.75">
      <c r="C32" s="82"/>
      <c r="D32" s="82"/>
    </row>
    <row r="33" spans="1:4" ht="12.75">
      <c r="A33" t="s">
        <v>187</v>
      </c>
      <c r="C33" s="82"/>
      <c r="D33" s="82"/>
    </row>
    <row r="34" spans="3:4" ht="12.75">
      <c r="C34" s="82"/>
      <c r="D34" s="82"/>
    </row>
    <row r="35" spans="3:4" ht="12.75">
      <c r="C35" s="82"/>
      <c r="D35" s="82"/>
    </row>
  </sheetData>
  <sheetProtection/>
  <mergeCells count="8">
    <mergeCell ref="A19:A20"/>
    <mergeCell ref="B19:B20"/>
    <mergeCell ref="C19:C20"/>
    <mergeCell ref="J4:N4"/>
    <mergeCell ref="A1:D1"/>
    <mergeCell ref="C3:D3"/>
    <mergeCell ref="A3:A4"/>
    <mergeCell ref="B3:B4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6"/>
  <sheetViews>
    <sheetView zoomScalePageLayoutView="0" workbookViewId="0" topLeftCell="A13">
      <selection activeCell="A27" sqref="A27:K32"/>
    </sheetView>
  </sheetViews>
  <sheetFormatPr defaultColWidth="9.00390625" defaultRowHeight="12.75"/>
  <cols>
    <col min="1" max="1" width="11.375" style="0" customWidth="1"/>
    <col min="2" max="2" width="8.75390625" style="0" customWidth="1"/>
    <col min="3" max="6" width="9.75390625" style="0" customWidth="1"/>
    <col min="7" max="7" width="7.75390625" style="0" customWidth="1"/>
    <col min="8" max="8" width="9.75390625" style="0" customWidth="1"/>
    <col min="9" max="9" width="10.375" style="0" customWidth="1"/>
    <col min="10" max="13" width="9.75390625" style="0" customWidth="1"/>
    <col min="14" max="14" width="8.75390625" style="0" customWidth="1"/>
    <col min="15" max="18" width="9.75390625" style="0" customWidth="1"/>
    <col min="19" max="19" width="17.25390625" style="0" customWidth="1"/>
    <col min="20" max="20" width="10.00390625" style="0" customWidth="1"/>
    <col min="21" max="28" width="8.75390625" style="0" customWidth="1"/>
  </cols>
  <sheetData>
    <row r="1" spans="1:32" ht="28.5" customHeight="1">
      <c r="A1" s="394" t="s">
        <v>117</v>
      </c>
      <c r="B1" s="398" t="s">
        <v>118</v>
      </c>
      <c r="C1" s="396" t="s">
        <v>119</v>
      </c>
      <c r="D1" s="396"/>
      <c r="E1" s="397"/>
      <c r="F1" s="398" t="s">
        <v>137</v>
      </c>
      <c r="G1" s="405"/>
      <c r="H1" s="405"/>
      <c r="I1" s="398" t="s">
        <v>118</v>
      </c>
      <c r="J1" s="396" t="s">
        <v>122</v>
      </c>
      <c r="K1" s="396"/>
      <c r="L1" s="397"/>
      <c r="M1" s="398" t="s">
        <v>137</v>
      </c>
      <c r="N1" s="405"/>
      <c r="O1" s="405"/>
      <c r="P1" s="398" t="s">
        <v>123</v>
      </c>
      <c r="Q1" s="412"/>
      <c r="R1" s="169"/>
      <c r="S1" s="394" t="s">
        <v>117</v>
      </c>
      <c r="T1" s="409" t="s">
        <v>118</v>
      </c>
      <c r="U1" s="400" t="s">
        <v>119</v>
      </c>
      <c r="V1" s="401"/>
      <c r="W1" s="407" t="s">
        <v>147</v>
      </c>
      <c r="X1" s="408"/>
      <c r="Y1" s="400" t="s">
        <v>119</v>
      </c>
      <c r="Z1" s="401"/>
      <c r="AA1" s="407" t="s">
        <v>147</v>
      </c>
      <c r="AB1" s="408"/>
      <c r="AC1" s="398" t="s">
        <v>154</v>
      </c>
      <c r="AD1" s="399"/>
      <c r="AE1" s="398" t="s">
        <v>155</v>
      </c>
      <c r="AF1" s="399"/>
    </row>
    <row r="2" spans="1:32" ht="12.75">
      <c r="A2" s="395"/>
      <c r="B2" s="402"/>
      <c r="C2" s="140" t="s">
        <v>120</v>
      </c>
      <c r="D2" s="140" t="s">
        <v>121</v>
      </c>
      <c r="E2" s="140" t="s">
        <v>90</v>
      </c>
      <c r="F2" s="140" t="s">
        <v>138</v>
      </c>
      <c r="G2" s="140" t="s">
        <v>139</v>
      </c>
      <c r="H2" s="140" t="s">
        <v>143</v>
      </c>
      <c r="I2" s="402"/>
      <c r="J2" s="140" t="s">
        <v>120</v>
      </c>
      <c r="K2" s="140" t="s">
        <v>121</v>
      </c>
      <c r="L2" s="140" t="s">
        <v>90</v>
      </c>
      <c r="M2" s="140" t="s">
        <v>138</v>
      </c>
      <c r="N2" s="140" t="s">
        <v>139</v>
      </c>
      <c r="O2" s="140" t="s">
        <v>143</v>
      </c>
      <c r="P2" s="140" t="s">
        <v>144</v>
      </c>
      <c r="Q2" s="159" t="s">
        <v>145</v>
      </c>
      <c r="R2" s="152" t="s">
        <v>163</v>
      </c>
      <c r="S2" s="411"/>
      <c r="T2" s="410"/>
      <c r="U2" s="141" t="s">
        <v>130</v>
      </c>
      <c r="V2" s="141" t="s">
        <v>150</v>
      </c>
      <c r="W2" s="141" t="s">
        <v>130</v>
      </c>
      <c r="X2" s="141" t="s">
        <v>150</v>
      </c>
      <c r="Y2" s="141" t="s">
        <v>130</v>
      </c>
      <c r="Z2" s="141" t="s">
        <v>150</v>
      </c>
      <c r="AA2" s="141" t="s">
        <v>130</v>
      </c>
      <c r="AB2" s="141" t="s">
        <v>150</v>
      </c>
      <c r="AC2" s="152" t="s">
        <v>144</v>
      </c>
      <c r="AD2" s="160" t="s">
        <v>145</v>
      </c>
      <c r="AE2" s="152" t="s">
        <v>144</v>
      </c>
      <c r="AF2" s="160" t="s">
        <v>145</v>
      </c>
    </row>
    <row r="3" spans="1:32" ht="12.75">
      <c r="A3" s="142" t="s">
        <v>157</v>
      </c>
      <c r="B3" s="143">
        <v>6144.4</v>
      </c>
      <c r="C3" s="143">
        <v>169585.44</v>
      </c>
      <c r="D3" s="143">
        <v>135506.15</v>
      </c>
      <c r="E3" s="143">
        <v>268183.6</v>
      </c>
      <c r="F3" s="143">
        <f>J17</f>
        <v>426116.48</v>
      </c>
      <c r="G3" s="143"/>
      <c r="H3" s="143">
        <f>F3+G3</f>
        <v>426116.48</v>
      </c>
      <c r="I3" s="143">
        <v>6144.4</v>
      </c>
      <c r="J3" s="143">
        <v>373903.66</v>
      </c>
      <c r="K3" s="143">
        <v>104833.72</v>
      </c>
      <c r="L3" s="143">
        <v>479556.22</v>
      </c>
      <c r="M3" s="1">
        <f>K17</f>
        <v>469546.19</v>
      </c>
      <c r="N3" s="143"/>
      <c r="O3" s="143">
        <f>M3+N3</f>
        <v>469546.19</v>
      </c>
      <c r="P3" s="143">
        <f>E3+L3</f>
        <v>747739.82</v>
      </c>
      <c r="Q3" s="158">
        <f>H3+O3</f>
        <v>895662.6699999999</v>
      </c>
      <c r="R3" s="143">
        <f>Q3-P3</f>
        <v>147922.84999999998</v>
      </c>
      <c r="S3" s="142" t="s">
        <v>149</v>
      </c>
      <c r="T3" s="143"/>
      <c r="U3" s="143">
        <v>9712.8</v>
      </c>
      <c r="V3" s="143">
        <v>19276.64</v>
      </c>
      <c r="W3" s="143">
        <f>AB17</f>
        <v>7004.01</v>
      </c>
      <c r="X3" s="143">
        <f>AB24</f>
        <v>14321.66</v>
      </c>
      <c r="Y3" s="143">
        <v>9972.27</v>
      </c>
      <c r="Z3" s="143">
        <v>17556</v>
      </c>
      <c r="AA3" s="143">
        <f>AC17</f>
        <v>9436.46</v>
      </c>
      <c r="AB3" s="143">
        <f>AC24</f>
        <v>20232.3</v>
      </c>
      <c r="AC3" s="143">
        <f>U3+Y3</f>
        <v>19685.07</v>
      </c>
      <c r="AD3" s="119">
        <f>W3+AA3</f>
        <v>16440.47</v>
      </c>
      <c r="AE3" s="143">
        <f>V3+Z3</f>
        <v>36832.64</v>
      </c>
      <c r="AF3" s="119">
        <f>X3+AB3</f>
        <v>34553.96</v>
      </c>
    </row>
    <row r="4" spans="1:32" ht="12.75">
      <c r="A4" s="142" t="s">
        <v>158</v>
      </c>
      <c r="B4" s="143">
        <v>4464.4</v>
      </c>
      <c r="C4" s="143">
        <v>102502.69</v>
      </c>
      <c r="D4" s="143">
        <v>2417.89</v>
      </c>
      <c r="E4" s="143">
        <f>C4+D4</f>
        <v>104920.58</v>
      </c>
      <c r="F4" s="143">
        <f>J18</f>
        <v>186566.86000000002</v>
      </c>
      <c r="G4" s="143">
        <f>J23</f>
        <v>5144.68</v>
      </c>
      <c r="H4" s="143">
        <f>F4+G4</f>
        <v>191711.54</v>
      </c>
      <c r="I4" s="143">
        <v>4547.4</v>
      </c>
      <c r="J4" s="143">
        <v>296854.5</v>
      </c>
      <c r="K4" s="143"/>
      <c r="L4" s="143">
        <f>J4+K4</f>
        <v>296854.5</v>
      </c>
      <c r="M4" s="1">
        <f>K18</f>
        <v>316018.55000000005</v>
      </c>
      <c r="N4" s="143">
        <f>K23</f>
        <v>10368.67</v>
      </c>
      <c r="O4" s="143">
        <f>M4+N4</f>
        <v>326387.22000000003</v>
      </c>
      <c r="P4" s="143">
        <f>E4+L4</f>
        <v>401775.08</v>
      </c>
      <c r="Q4" s="158">
        <f>H4+O4</f>
        <v>518098.76</v>
      </c>
      <c r="R4" s="143">
        <f>Q4-P4</f>
        <v>116323.68</v>
      </c>
      <c r="S4" s="171" t="s">
        <v>146</v>
      </c>
      <c r="T4" s="143"/>
      <c r="U4" s="143"/>
      <c r="V4" s="143"/>
      <c r="W4" s="143">
        <f>AB18</f>
        <v>14468.810000000001</v>
      </c>
      <c r="X4" s="143">
        <f>AB25</f>
        <v>22536.359999999997</v>
      </c>
      <c r="Y4" s="143"/>
      <c r="Z4" s="143"/>
      <c r="AA4" s="143">
        <f>AC18</f>
        <v>31925.31</v>
      </c>
      <c r="AB4" s="143">
        <f>AC25</f>
        <v>37054.38</v>
      </c>
      <c r="AC4" s="143"/>
      <c r="AD4" s="119">
        <f>W4+AA4</f>
        <v>46394.12</v>
      </c>
      <c r="AE4" s="143"/>
      <c r="AF4" s="119">
        <f>X4+AB4</f>
        <v>59590.73999999999</v>
      </c>
    </row>
    <row r="5" spans="1:32" ht="12.75">
      <c r="A5" s="142" t="s">
        <v>126</v>
      </c>
      <c r="B5" s="143">
        <v>3921.3</v>
      </c>
      <c r="C5" s="143">
        <v>86493.38</v>
      </c>
      <c r="D5" s="143">
        <v>24422.6</v>
      </c>
      <c r="E5" s="143">
        <f>C5+D5</f>
        <v>110915.98000000001</v>
      </c>
      <c r="F5" s="143">
        <f>J19</f>
        <v>47273.02</v>
      </c>
      <c r="G5" s="143">
        <f>J24</f>
        <v>543.86</v>
      </c>
      <c r="H5" s="143">
        <f>F5+G5</f>
        <v>47816.88</v>
      </c>
      <c r="I5" s="143">
        <v>3920.9</v>
      </c>
      <c r="J5" s="143">
        <v>192914.4</v>
      </c>
      <c r="K5" s="143">
        <v>24812.06</v>
      </c>
      <c r="L5" s="143">
        <f>J5+K5</f>
        <v>217726.46</v>
      </c>
      <c r="M5" s="1">
        <f>K19</f>
        <v>241437.53</v>
      </c>
      <c r="N5" s="143">
        <f>K24</f>
        <v>15351.28</v>
      </c>
      <c r="O5" s="143">
        <f>M5+N5</f>
        <v>256788.81</v>
      </c>
      <c r="P5" s="143">
        <f>E5+L5</f>
        <v>328642.44</v>
      </c>
      <c r="Q5" s="158">
        <f>H5+O5</f>
        <v>304605.69</v>
      </c>
      <c r="R5" s="143">
        <f>Q5-P5</f>
        <v>-24036.75</v>
      </c>
      <c r="S5" s="171" t="s">
        <v>126</v>
      </c>
      <c r="T5" s="143"/>
      <c r="U5" s="143"/>
      <c r="V5" s="143"/>
      <c r="W5" s="143">
        <f>AB19</f>
        <v>0</v>
      </c>
      <c r="X5" s="143">
        <v>0</v>
      </c>
      <c r="Y5" s="143"/>
      <c r="Z5" s="143"/>
      <c r="AA5" s="143">
        <f>AC19</f>
        <v>0</v>
      </c>
      <c r="AB5" s="143">
        <v>0</v>
      </c>
      <c r="AC5" s="143"/>
      <c r="AD5" s="119">
        <f>W5+AA5</f>
        <v>0</v>
      </c>
      <c r="AE5" s="143"/>
      <c r="AF5" s="119">
        <f>X5+AB5</f>
        <v>0</v>
      </c>
    </row>
    <row r="6" spans="1:32" ht="12.75">
      <c r="A6" s="142" t="s">
        <v>127</v>
      </c>
      <c r="B6" s="143">
        <v>2150.1</v>
      </c>
      <c r="C6" s="143">
        <v>37985.48</v>
      </c>
      <c r="D6" s="143">
        <v>23967.58</v>
      </c>
      <c r="E6" s="143">
        <f>C6+D6</f>
        <v>61953.060000000005</v>
      </c>
      <c r="F6" s="143">
        <f>J20</f>
        <v>47551.08</v>
      </c>
      <c r="G6" s="143"/>
      <c r="H6" s="143">
        <f>F6+G6</f>
        <v>47551.08</v>
      </c>
      <c r="I6" s="143">
        <v>2152.1</v>
      </c>
      <c r="J6" s="143">
        <v>129039.86</v>
      </c>
      <c r="K6" s="143">
        <v>21835.27</v>
      </c>
      <c r="L6" s="143">
        <f>J6+K6</f>
        <v>150875.13</v>
      </c>
      <c r="M6" s="1">
        <f>K20</f>
        <v>149296.38</v>
      </c>
      <c r="N6" s="143"/>
      <c r="O6" s="143">
        <f>M6+N6</f>
        <v>149296.38</v>
      </c>
      <c r="P6" s="143">
        <f>E6+L6</f>
        <v>212828.19</v>
      </c>
      <c r="Q6" s="158">
        <f>H6+O6</f>
        <v>196847.46000000002</v>
      </c>
      <c r="R6" s="143">
        <f>Q6-P6</f>
        <v>-15980.729999999981</v>
      </c>
      <c r="S6" s="171" t="s">
        <v>127</v>
      </c>
      <c r="T6" s="143"/>
      <c r="U6" s="143"/>
      <c r="V6" s="143"/>
      <c r="W6" s="143">
        <f>AB20</f>
        <v>7196.7</v>
      </c>
      <c r="X6" s="143">
        <f>AB27</f>
        <v>13208.36</v>
      </c>
      <c r="Y6" s="143"/>
      <c r="Z6" s="143"/>
      <c r="AA6" s="143">
        <f>AC20</f>
        <v>7437.8</v>
      </c>
      <c r="AB6" s="143">
        <f>AC27</f>
        <v>11338.1</v>
      </c>
      <c r="AC6" s="143"/>
      <c r="AD6" s="119">
        <f>W6+AA6</f>
        <v>14634.5</v>
      </c>
      <c r="AE6" s="143"/>
      <c r="AF6" s="119">
        <f>X6+AB6</f>
        <v>24546.46</v>
      </c>
    </row>
    <row r="7" spans="1:32" ht="13.5" thickBot="1">
      <c r="A7" s="148" t="s">
        <v>128</v>
      </c>
      <c r="B7" s="145">
        <v>4403.6</v>
      </c>
      <c r="C7" s="145">
        <v>91013.31</v>
      </c>
      <c r="D7" s="145">
        <v>44912.99</v>
      </c>
      <c r="E7" s="165">
        <f>C7+D7</f>
        <v>135926.3</v>
      </c>
      <c r="F7" s="145">
        <f>J21</f>
        <v>83895.2</v>
      </c>
      <c r="G7" s="145"/>
      <c r="H7" s="145">
        <f>F7+G7</f>
        <v>83895.2</v>
      </c>
      <c r="I7" s="145">
        <v>6144.8</v>
      </c>
      <c r="J7" s="145">
        <v>187640.85</v>
      </c>
      <c r="K7" s="145">
        <v>50901.58</v>
      </c>
      <c r="L7" s="165">
        <f>J7+K7</f>
        <v>238542.43</v>
      </c>
      <c r="M7" s="2">
        <f>K21</f>
        <v>240237.89</v>
      </c>
      <c r="N7" s="145"/>
      <c r="O7" s="145">
        <f>M7+N7</f>
        <v>240237.89</v>
      </c>
      <c r="P7" s="165">
        <f>E7+L7</f>
        <v>374468.73</v>
      </c>
      <c r="Q7" s="168">
        <f>H7+O7</f>
        <v>324133.09</v>
      </c>
      <c r="R7" s="143">
        <f>Q7-P7</f>
        <v>-50335.639999999956</v>
      </c>
      <c r="S7" s="172" t="s">
        <v>128</v>
      </c>
      <c r="T7" s="145"/>
      <c r="U7" s="145"/>
      <c r="V7" s="145"/>
      <c r="W7" s="145">
        <f>AB21</f>
        <v>10627.5</v>
      </c>
      <c r="X7" s="145">
        <f>AB28</f>
        <v>21471.68</v>
      </c>
      <c r="Y7" s="145"/>
      <c r="Z7" s="145"/>
      <c r="AA7" s="145">
        <f>AC21</f>
        <v>9303.51</v>
      </c>
      <c r="AB7" s="145">
        <f>AC28</f>
        <v>17609.21</v>
      </c>
      <c r="AC7" s="145"/>
      <c r="AD7" s="119">
        <f>W7+AA7</f>
        <v>19931.010000000002</v>
      </c>
      <c r="AE7" s="145"/>
      <c r="AF7" s="119">
        <f>X7+AB7</f>
        <v>39080.89</v>
      </c>
    </row>
    <row r="8" spans="1:32" ht="13.5" thickBot="1">
      <c r="A8" s="147"/>
      <c r="B8" s="147"/>
      <c r="C8" s="147"/>
      <c r="D8" s="147"/>
      <c r="E8" s="166">
        <f>SUM(E3:E7)</f>
        <v>681899.52</v>
      </c>
      <c r="F8" s="147"/>
      <c r="G8" s="147"/>
      <c r="H8" s="154">
        <f>SUM(H3:H7)</f>
        <v>797091.1799999999</v>
      </c>
      <c r="I8" s="150"/>
      <c r="J8" s="147"/>
      <c r="K8" s="147"/>
      <c r="L8" s="167">
        <f>SUM(L3:L7)</f>
        <v>1383554.74</v>
      </c>
      <c r="N8" s="147"/>
      <c r="O8" s="154">
        <f>SUM(O3:O7)</f>
        <v>1442256.4900000002</v>
      </c>
      <c r="P8" s="166">
        <f>SUM(P3:P7)</f>
        <v>2065454.2599999998</v>
      </c>
      <c r="Q8" s="170">
        <f>SUM(Q3:Q7)</f>
        <v>2239347.67</v>
      </c>
      <c r="R8" s="167">
        <f>SUM(R3:R7)</f>
        <v>173893.41000000003</v>
      </c>
      <c r="S8" s="173"/>
      <c r="T8" s="147"/>
      <c r="W8" s="147">
        <v>1280.98</v>
      </c>
      <c r="X8">
        <v>1546.01</v>
      </c>
      <c r="Y8" s="147"/>
      <c r="Z8" s="147"/>
      <c r="AA8" s="147"/>
      <c r="AB8" s="162"/>
      <c r="AC8" s="147"/>
      <c r="AD8" s="161">
        <f>AD3+AD4+AD6+AD7+W8</f>
        <v>98681.08</v>
      </c>
      <c r="AF8" s="161">
        <f>AF3+AF4+AF5+AF6+AF7+X8</f>
        <v>159318.06</v>
      </c>
    </row>
    <row r="9" spans="1:32" ht="13.5" thickBot="1">
      <c r="A9" s="147"/>
      <c r="B9" s="147"/>
      <c r="C9" s="147"/>
      <c r="D9" s="147"/>
      <c r="E9" s="147"/>
      <c r="F9" s="147"/>
      <c r="G9" s="147"/>
      <c r="H9" s="147"/>
      <c r="I9" s="147"/>
      <c r="J9" s="149"/>
      <c r="K9" s="149"/>
      <c r="L9" s="149"/>
      <c r="N9" s="149" t="s">
        <v>156</v>
      </c>
      <c r="O9" s="149"/>
      <c r="P9" s="150">
        <f>Q8-P8</f>
        <v>173893.41000000015</v>
      </c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F9" s="161">
        <f>AD8+AF8</f>
        <v>257999.14</v>
      </c>
    </row>
    <row r="10" spans="1:30" ht="25.5" customHeight="1">
      <c r="A10" s="394" t="s">
        <v>117</v>
      </c>
      <c r="B10" s="398" t="s">
        <v>118</v>
      </c>
      <c r="C10" s="396" t="s">
        <v>192</v>
      </c>
      <c r="D10" s="396"/>
      <c r="E10" s="397"/>
      <c r="F10" s="398" t="s">
        <v>137</v>
      </c>
      <c r="G10" s="405"/>
      <c r="H10" s="406"/>
      <c r="I10" s="163" t="s">
        <v>163</v>
      </c>
      <c r="J10" s="156"/>
      <c r="K10" s="163"/>
      <c r="L10" s="157"/>
      <c r="N10" s="156"/>
      <c r="O10" s="156"/>
      <c r="P10" s="156"/>
      <c r="Q10" s="403"/>
      <c r="R10" s="156"/>
      <c r="S10" s="394" t="s">
        <v>117</v>
      </c>
      <c r="T10" s="409" t="s">
        <v>118</v>
      </c>
      <c r="U10" s="400" t="s">
        <v>119</v>
      </c>
      <c r="V10" s="401"/>
      <c r="W10" s="407" t="s">
        <v>147</v>
      </c>
      <c r="X10" s="408"/>
      <c r="Y10" s="400" t="s">
        <v>119</v>
      </c>
      <c r="Z10" s="401"/>
      <c r="AA10" s="407" t="s">
        <v>147</v>
      </c>
      <c r="AB10" s="408"/>
      <c r="AC10" s="398" t="s">
        <v>123</v>
      </c>
      <c r="AD10" s="399"/>
    </row>
    <row r="11" spans="1:30" ht="12.75">
      <c r="A11" s="395"/>
      <c r="B11" s="402"/>
      <c r="C11" s="141" t="s">
        <v>120</v>
      </c>
      <c r="D11" s="141" t="s">
        <v>121</v>
      </c>
      <c r="E11" s="140" t="s">
        <v>90</v>
      </c>
      <c r="F11" s="140" t="s">
        <v>138</v>
      </c>
      <c r="G11" s="140" t="s">
        <v>139</v>
      </c>
      <c r="H11" s="153" t="s">
        <v>143</v>
      </c>
      <c r="I11" s="157"/>
      <c r="J11" s="157" t="s">
        <v>164</v>
      </c>
      <c r="K11" s="156" t="s">
        <v>162</v>
      </c>
      <c r="L11" s="157" t="s">
        <v>92</v>
      </c>
      <c r="M11" s="176" t="s">
        <v>166</v>
      </c>
      <c r="N11" s="156" t="s">
        <v>167</v>
      </c>
      <c r="O11" s="156"/>
      <c r="P11" s="156"/>
      <c r="Q11" s="404"/>
      <c r="R11" s="177"/>
      <c r="S11" s="395"/>
      <c r="T11" s="410"/>
      <c r="U11" s="141" t="s">
        <v>130</v>
      </c>
      <c r="V11" s="141" t="s">
        <v>150</v>
      </c>
      <c r="W11" s="141" t="s">
        <v>130</v>
      </c>
      <c r="X11" s="141" t="s">
        <v>150</v>
      </c>
      <c r="Y11" s="141" t="s">
        <v>130</v>
      </c>
      <c r="Z11" s="141" t="s">
        <v>150</v>
      </c>
      <c r="AA11" s="141" t="s">
        <v>130</v>
      </c>
      <c r="AB11" s="141" t="s">
        <v>150</v>
      </c>
      <c r="AC11" s="152" t="s">
        <v>144</v>
      </c>
      <c r="AD11" s="160" t="s">
        <v>145</v>
      </c>
    </row>
    <row r="12" spans="1:30" ht="12.75">
      <c r="A12" s="142" t="s">
        <v>159</v>
      </c>
      <c r="B12" s="143">
        <v>2280</v>
      </c>
      <c r="C12" s="143">
        <f>E12-D12</f>
        <v>140128.8</v>
      </c>
      <c r="D12" s="143">
        <v>935.14</v>
      </c>
      <c r="E12" s="143">
        <v>141063.94</v>
      </c>
      <c r="F12" s="143">
        <f>K28</f>
        <v>-169775.91</v>
      </c>
      <c r="G12" s="143">
        <f>K33</f>
        <v>202202.9</v>
      </c>
      <c r="H12" s="144">
        <f>F12+G12</f>
        <v>32426.98999999999</v>
      </c>
      <c r="I12" s="213">
        <f>H12-E12</f>
        <v>-108636.95000000001</v>
      </c>
      <c r="J12" s="149"/>
      <c r="K12" s="149">
        <v>53359.58</v>
      </c>
      <c r="L12" s="149">
        <v>47398.28</v>
      </c>
      <c r="M12">
        <f>K12+L12</f>
        <v>100757.86</v>
      </c>
      <c r="N12" s="149">
        <f>H12-M12</f>
        <v>-68330.87000000001</v>
      </c>
      <c r="O12" s="149"/>
      <c r="P12" s="149"/>
      <c r="Q12" s="149"/>
      <c r="R12" s="149"/>
      <c r="S12" s="142" t="s">
        <v>151</v>
      </c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19"/>
    </row>
    <row r="13" spans="1:30" ht="12.75">
      <c r="A13" s="142" t="s">
        <v>160</v>
      </c>
      <c r="B13" s="143">
        <v>2604.4</v>
      </c>
      <c r="C13" s="143">
        <f>E13-D13</f>
        <v>160066.43</v>
      </c>
      <c r="D13" s="143">
        <v>481.93</v>
      </c>
      <c r="E13" s="143">
        <v>160548.36</v>
      </c>
      <c r="F13" s="143">
        <f>K29</f>
        <v>165024.36</v>
      </c>
      <c r="G13" s="143">
        <f>K34</f>
        <v>18244.6</v>
      </c>
      <c r="H13" s="144">
        <f>F13+G13</f>
        <v>183268.96</v>
      </c>
      <c r="I13" s="213">
        <f>H13-E13</f>
        <v>22720.600000000006</v>
      </c>
      <c r="J13" s="149"/>
      <c r="K13" s="149">
        <v>49527.12</v>
      </c>
      <c r="L13" s="149">
        <v>54273.85</v>
      </c>
      <c r="M13">
        <f>K13+L13</f>
        <v>103800.97</v>
      </c>
      <c r="N13" s="149">
        <f>H13-M13</f>
        <v>79467.98999999999</v>
      </c>
      <c r="O13" s="149"/>
      <c r="P13" s="149"/>
      <c r="Q13" s="149"/>
      <c r="R13" s="149"/>
      <c r="S13" s="142" t="s">
        <v>152</v>
      </c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19"/>
    </row>
    <row r="14" spans="1:30" ht="13.5" thickBot="1">
      <c r="A14" s="148" t="s">
        <v>161</v>
      </c>
      <c r="B14" s="145">
        <v>2230.2</v>
      </c>
      <c r="C14" s="143">
        <f>E14-D14</f>
        <v>137068.09</v>
      </c>
      <c r="D14" s="145">
        <v>1702.34</v>
      </c>
      <c r="E14" s="145">
        <v>138770.43</v>
      </c>
      <c r="F14" s="145">
        <f>K30</f>
        <v>165443.3</v>
      </c>
      <c r="G14" s="145">
        <f>K35</f>
        <v>17178.059999999998</v>
      </c>
      <c r="H14" s="146">
        <f>F14+G14</f>
        <v>182621.36</v>
      </c>
      <c r="I14" s="213">
        <f>H14-E14</f>
        <v>43850.92999999999</v>
      </c>
      <c r="J14" s="149"/>
      <c r="K14" s="149">
        <v>45547.26</v>
      </c>
      <c r="L14" s="149">
        <v>45569.77</v>
      </c>
      <c r="M14">
        <f>K14+L14</f>
        <v>91117.03</v>
      </c>
      <c r="N14" s="149">
        <f>H14-M14</f>
        <v>91504.32999999999</v>
      </c>
      <c r="O14" s="149"/>
      <c r="P14" s="149"/>
      <c r="Q14" s="149"/>
      <c r="R14" s="149"/>
      <c r="S14" s="148" t="s">
        <v>153</v>
      </c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39"/>
    </row>
    <row r="15" spans="1:20" ht="15.75" thickBot="1">
      <c r="A15" s="36"/>
      <c r="B15" s="36"/>
      <c r="C15" s="36"/>
      <c r="D15" s="36"/>
      <c r="E15" s="36"/>
      <c r="F15" s="36"/>
      <c r="G15" s="36"/>
      <c r="H15" s="155">
        <f>SUM(H12:H14)</f>
        <v>398317.30999999994</v>
      </c>
      <c r="I15" s="164"/>
      <c r="J15" s="149"/>
      <c r="K15" s="149">
        <f>SUM(K12:K14)</f>
        <v>148433.96000000002</v>
      </c>
      <c r="L15" s="174">
        <f>SUM(L12:L14)</f>
        <v>147241.9</v>
      </c>
      <c r="M15" s="175">
        <f>K15+L15</f>
        <v>295675.86</v>
      </c>
      <c r="N15" s="28">
        <f>SUM(N12:N14)</f>
        <v>102641.44999999997</v>
      </c>
      <c r="O15" s="36"/>
      <c r="P15" s="36"/>
      <c r="Q15" s="36"/>
      <c r="R15" s="36"/>
      <c r="S15" s="36"/>
      <c r="T15" s="36"/>
    </row>
    <row r="16" spans="1:27" ht="12.75">
      <c r="A16" s="147" t="s">
        <v>142</v>
      </c>
      <c r="B16" s="147" t="s">
        <v>131</v>
      </c>
      <c r="C16" s="147" t="s">
        <v>132</v>
      </c>
      <c r="D16" s="147" t="s">
        <v>133</v>
      </c>
      <c r="E16" s="147" t="s">
        <v>134</v>
      </c>
      <c r="F16" s="147" t="s">
        <v>135</v>
      </c>
      <c r="G16" s="147" t="s">
        <v>136</v>
      </c>
      <c r="H16" s="147" t="s">
        <v>92</v>
      </c>
      <c r="I16" s="147"/>
      <c r="L16" s="147"/>
      <c r="N16" s="147"/>
      <c r="O16" s="147"/>
      <c r="P16" s="147"/>
      <c r="Q16" s="147"/>
      <c r="R16" s="147"/>
      <c r="S16" s="147" t="s">
        <v>130</v>
      </c>
      <c r="T16" s="147" t="s">
        <v>131</v>
      </c>
      <c r="U16" s="147" t="s">
        <v>132</v>
      </c>
      <c r="V16" s="147" t="s">
        <v>133</v>
      </c>
      <c r="W16" s="147" t="s">
        <v>134</v>
      </c>
      <c r="X16" s="147" t="s">
        <v>135</v>
      </c>
      <c r="Y16" s="147" t="s">
        <v>136</v>
      </c>
      <c r="Z16" s="147" t="s">
        <v>92</v>
      </c>
      <c r="AA16" s="147" t="s">
        <v>85</v>
      </c>
    </row>
    <row r="17" spans="1:29" ht="12.75">
      <c r="A17" s="142" t="s">
        <v>124</v>
      </c>
      <c r="B17" s="147">
        <v>77329.87</v>
      </c>
      <c r="C17" s="147">
        <v>86355.16</v>
      </c>
      <c r="D17" s="147">
        <v>111667.26</v>
      </c>
      <c r="E17" s="147">
        <v>150764.19</v>
      </c>
      <c r="F17" s="150">
        <v>136856.98</v>
      </c>
      <c r="G17" s="150">
        <v>191932.66</v>
      </c>
      <c r="H17" s="150">
        <v>140756.55</v>
      </c>
      <c r="I17" s="150"/>
      <c r="J17" s="28">
        <f>SUM(B17:E17)</f>
        <v>426116.48</v>
      </c>
      <c r="K17" s="147">
        <f>F17+G17+H17</f>
        <v>469546.19</v>
      </c>
      <c r="L17" s="147"/>
      <c r="N17" s="147"/>
      <c r="O17" s="147"/>
      <c r="P17" s="147"/>
      <c r="Q17" s="147"/>
      <c r="R17" s="147"/>
      <c r="S17" s="142" t="s">
        <v>149</v>
      </c>
      <c r="T17" s="147"/>
      <c r="W17">
        <v>7004.01</v>
      </c>
      <c r="X17">
        <v>3073.89</v>
      </c>
      <c r="Y17">
        <v>4160.36</v>
      </c>
      <c r="Z17">
        <v>2202.21</v>
      </c>
      <c r="AA17">
        <v>3036.55</v>
      </c>
      <c r="AB17">
        <f>SUM(T17:W17)</f>
        <v>7004.01</v>
      </c>
      <c r="AC17">
        <f>X17+Y17+Z17</f>
        <v>9436.46</v>
      </c>
    </row>
    <row r="18" spans="1:29" ht="12.75">
      <c r="A18" s="142" t="s">
        <v>158</v>
      </c>
      <c r="B18" s="147"/>
      <c r="C18" s="147">
        <v>32390.14</v>
      </c>
      <c r="D18" s="147">
        <v>65568.85</v>
      </c>
      <c r="E18" s="147">
        <f>91541.1-E23</f>
        <v>88607.87000000001</v>
      </c>
      <c r="F18" s="147">
        <v>89918.31</v>
      </c>
      <c r="G18" s="150">
        <v>124195.64</v>
      </c>
      <c r="H18" s="150">
        <v>101904.6</v>
      </c>
      <c r="I18" s="150"/>
      <c r="J18" s="28">
        <f aca="true" t="shared" si="0" ref="J18:J35">SUM(B18:E18)</f>
        <v>186566.86000000002</v>
      </c>
      <c r="K18" s="147">
        <f>F18+G18+H18</f>
        <v>316018.55000000005</v>
      </c>
      <c r="L18" s="147"/>
      <c r="N18" s="147"/>
      <c r="O18" s="147"/>
      <c r="P18" s="147"/>
      <c r="Q18" s="147"/>
      <c r="R18" s="147"/>
      <c r="S18" s="142" t="s">
        <v>146</v>
      </c>
      <c r="T18" s="147">
        <v>2471.51</v>
      </c>
      <c r="U18">
        <v>3267.42</v>
      </c>
      <c r="V18">
        <v>3983.74</v>
      </c>
      <c r="W18">
        <v>4746.14</v>
      </c>
      <c r="X18">
        <v>7553.43</v>
      </c>
      <c r="Y18">
        <v>11538.9</v>
      </c>
      <c r="Z18">
        <v>12832.98</v>
      </c>
      <c r="AB18">
        <f>SUM(T18:W18)</f>
        <v>14468.810000000001</v>
      </c>
      <c r="AC18">
        <f>X18+Y18+Z18</f>
        <v>31925.31</v>
      </c>
    </row>
    <row r="19" spans="1:29" ht="12.75">
      <c r="A19" s="142" t="s">
        <v>126</v>
      </c>
      <c r="B19" s="147"/>
      <c r="C19" s="147"/>
      <c r="D19" s="147"/>
      <c r="E19" s="147">
        <v>47273.02</v>
      </c>
      <c r="F19" s="147">
        <v>122904.81</v>
      </c>
      <c r="G19" s="147">
        <v>43208.87</v>
      </c>
      <c r="H19" s="147">
        <v>75323.85</v>
      </c>
      <c r="I19" s="147"/>
      <c r="J19" s="28">
        <f>SUM(B19:E19)</f>
        <v>47273.02</v>
      </c>
      <c r="K19" s="147">
        <f>F19+G19+H19</f>
        <v>241437.53</v>
      </c>
      <c r="L19" s="147"/>
      <c r="N19" s="147"/>
      <c r="O19" s="147"/>
      <c r="P19" s="147"/>
      <c r="Q19" s="147"/>
      <c r="R19" s="147"/>
      <c r="S19" s="142" t="s">
        <v>126</v>
      </c>
      <c r="T19" s="147"/>
      <c r="AB19">
        <f>SUM(T19:W19)</f>
        <v>0</v>
      </c>
      <c r="AC19">
        <f>X19+Y19+Z19</f>
        <v>0</v>
      </c>
    </row>
    <row r="20" spans="1:29" ht="12.75">
      <c r="A20" s="142" t="s">
        <v>127</v>
      </c>
      <c r="B20" s="147"/>
      <c r="C20" s="147"/>
      <c r="D20" s="147"/>
      <c r="E20" s="147">
        <v>47551.08</v>
      </c>
      <c r="F20" s="147">
        <v>42550.06</v>
      </c>
      <c r="G20" s="147">
        <v>62697.17</v>
      </c>
      <c r="H20" s="147">
        <v>44049.15</v>
      </c>
      <c r="I20" s="147"/>
      <c r="J20" s="28">
        <f t="shared" si="0"/>
        <v>47551.08</v>
      </c>
      <c r="K20" s="147">
        <f>F20+G20+H20</f>
        <v>149296.38</v>
      </c>
      <c r="L20" s="147"/>
      <c r="N20" s="147"/>
      <c r="O20" s="147"/>
      <c r="P20" s="147"/>
      <c r="Q20" s="147"/>
      <c r="R20" s="147"/>
      <c r="S20" s="142" t="s">
        <v>127</v>
      </c>
      <c r="T20" s="147">
        <v>2458.94</v>
      </c>
      <c r="U20">
        <v>783.34</v>
      </c>
      <c r="V20">
        <v>1977.21</v>
      </c>
      <c r="W20">
        <v>1977.21</v>
      </c>
      <c r="X20">
        <v>2318.23</v>
      </c>
      <c r="Y20">
        <v>2974.12</v>
      </c>
      <c r="Z20">
        <v>2145.45</v>
      </c>
      <c r="AB20">
        <f>SUM(T20:W20)</f>
        <v>7196.7</v>
      </c>
      <c r="AC20">
        <f>X20+Y20+Z20</f>
        <v>7437.8</v>
      </c>
    </row>
    <row r="21" spans="1:29" ht="13.5" thickBot="1">
      <c r="A21" s="148" t="s">
        <v>128</v>
      </c>
      <c r="B21" s="147"/>
      <c r="C21" s="147"/>
      <c r="D21" s="147"/>
      <c r="E21" s="147">
        <v>83895.2</v>
      </c>
      <c r="F21" s="147">
        <v>83274.59</v>
      </c>
      <c r="G21" s="147">
        <v>82666.74</v>
      </c>
      <c r="H21" s="147">
        <v>74296.56</v>
      </c>
      <c r="I21" s="147"/>
      <c r="J21" s="28">
        <f t="shared" si="0"/>
        <v>83895.2</v>
      </c>
      <c r="K21" s="147">
        <f>F21+G21+H21</f>
        <v>240237.89</v>
      </c>
      <c r="L21" s="147"/>
      <c r="N21" s="147"/>
      <c r="O21" s="147"/>
      <c r="P21" s="147"/>
      <c r="Q21" s="147"/>
      <c r="R21" s="147"/>
      <c r="S21" s="148" t="s">
        <v>128</v>
      </c>
      <c r="T21" s="147">
        <v>2785.69</v>
      </c>
      <c r="U21">
        <v>2622.31</v>
      </c>
      <c r="V21">
        <v>2609.75</v>
      </c>
      <c r="W21">
        <v>2609.75</v>
      </c>
      <c r="X21">
        <v>2969.31</v>
      </c>
      <c r="Y21">
        <v>3246.56</v>
      </c>
      <c r="Z21">
        <v>3087.64</v>
      </c>
      <c r="AB21">
        <f>SUM(T21:W21)</f>
        <v>10627.5</v>
      </c>
      <c r="AC21">
        <f>X21+Y21+Z21</f>
        <v>9303.51</v>
      </c>
    </row>
    <row r="22" spans="1:20" ht="12.75">
      <c r="A22" s="151" t="s">
        <v>139</v>
      </c>
      <c r="B22" s="147"/>
      <c r="C22" s="147"/>
      <c r="D22" s="147"/>
      <c r="E22" s="147"/>
      <c r="F22" s="147"/>
      <c r="G22" s="147"/>
      <c r="H22" s="147"/>
      <c r="I22" s="147"/>
      <c r="J22" s="28">
        <f t="shared" si="0"/>
        <v>0</v>
      </c>
      <c r="K22" s="147">
        <f aca="true" t="shared" si="1" ref="K22:K35">F22+G22+H22</f>
        <v>0</v>
      </c>
      <c r="L22" s="147"/>
      <c r="N22" s="147"/>
      <c r="O22" s="147"/>
      <c r="P22" s="147"/>
      <c r="Q22" s="147"/>
      <c r="R22" s="147"/>
      <c r="S22" s="147"/>
      <c r="T22" s="147"/>
    </row>
    <row r="23" spans="1:26" ht="12.75">
      <c r="A23" s="142" t="s">
        <v>158</v>
      </c>
      <c r="B23" s="147"/>
      <c r="C23" s="147">
        <v>527.62</v>
      </c>
      <c r="D23" s="147">
        <v>1683.83</v>
      </c>
      <c r="E23" s="147">
        <v>2933.23</v>
      </c>
      <c r="F23" s="150">
        <v>2482.22</v>
      </c>
      <c r="G23" s="150">
        <v>4712.06</v>
      </c>
      <c r="H23" s="150">
        <v>3174.39</v>
      </c>
      <c r="I23" s="150"/>
      <c r="J23" s="28">
        <f t="shared" si="0"/>
        <v>5144.68</v>
      </c>
      <c r="K23" s="147">
        <f t="shared" si="1"/>
        <v>10368.67</v>
      </c>
      <c r="L23" s="147"/>
      <c r="N23" s="147"/>
      <c r="O23" s="147"/>
      <c r="P23" s="147"/>
      <c r="Q23" s="147"/>
      <c r="R23" s="147"/>
      <c r="S23" s="147" t="s">
        <v>148</v>
      </c>
      <c r="T23" s="147" t="s">
        <v>131</v>
      </c>
      <c r="U23" s="147" t="s">
        <v>132</v>
      </c>
      <c r="V23" s="147" t="s">
        <v>133</v>
      </c>
      <c r="W23" s="147" t="s">
        <v>134</v>
      </c>
      <c r="X23" s="147" t="s">
        <v>135</v>
      </c>
      <c r="Y23" s="147" t="s">
        <v>136</v>
      </c>
      <c r="Z23" s="147" t="s">
        <v>92</v>
      </c>
    </row>
    <row r="24" spans="1:29" ht="12.75">
      <c r="A24" s="142" t="s">
        <v>126</v>
      </c>
      <c r="B24" s="147"/>
      <c r="C24" s="147"/>
      <c r="D24" s="147"/>
      <c r="E24" s="147">
        <v>543.86</v>
      </c>
      <c r="F24" s="147">
        <v>4881.54</v>
      </c>
      <c r="G24" s="147">
        <v>5747.06</v>
      </c>
      <c r="H24" s="147">
        <v>4722.68</v>
      </c>
      <c r="I24" s="147"/>
      <c r="J24" s="28">
        <f t="shared" si="0"/>
        <v>543.86</v>
      </c>
      <c r="K24" s="147">
        <f t="shared" si="1"/>
        <v>15351.28</v>
      </c>
      <c r="L24" s="147"/>
      <c r="M24" s="28"/>
      <c r="N24" s="147"/>
      <c r="O24" s="147"/>
      <c r="P24" s="147"/>
      <c r="Q24" s="147"/>
      <c r="R24" s="147"/>
      <c r="S24" s="142" t="s">
        <v>149</v>
      </c>
      <c r="T24" s="147"/>
      <c r="W24">
        <v>14321.66</v>
      </c>
      <c r="X24">
        <v>6609.79</v>
      </c>
      <c r="Y24">
        <v>7930.78</v>
      </c>
      <c r="Z24">
        <v>5691.73</v>
      </c>
      <c r="AA24">
        <v>6645.76</v>
      </c>
      <c r="AB24">
        <f>SUM(T24:W24)</f>
        <v>14321.66</v>
      </c>
      <c r="AC24">
        <f>X24+Y24+Z24</f>
        <v>20232.3</v>
      </c>
    </row>
    <row r="25" spans="1:29" ht="15">
      <c r="A25" s="36"/>
      <c r="B25" s="147">
        <f aca="true" t="shared" si="2" ref="B25:G25">SUM(B17:B24)</f>
        <v>77329.87</v>
      </c>
      <c r="C25" s="147">
        <f t="shared" si="2"/>
        <v>119272.92</v>
      </c>
      <c r="D25" s="147">
        <f t="shared" si="2"/>
        <v>178919.93999999997</v>
      </c>
      <c r="E25" s="147">
        <f t="shared" si="2"/>
        <v>421568.45</v>
      </c>
      <c r="F25" s="147">
        <f t="shared" si="2"/>
        <v>482868.50999999995</v>
      </c>
      <c r="G25" s="147">
        <f t="shared" si="2"/>
        <v>515160.19999999995</v>
      </c>
      <c r="H25" s="147">
        <f>SUM(H17:H24)</f>
        <v>444227.78</v>
      </c>
      <c r="I25" s="147"/>
      <c r="J25" s="28">
        <f t="shared" si="0"/>
        <v>797091.1799999999</v>
      </c>
      <c r="K25" s="147">
        <f t="shared" si="1"/>
        <v>1442256.49</v>
      </c>
      <c r="L25" s="147"/>
      <c r="N25" s="147"/>
      <c r="O25" s="147"/>
      <c r="P25" s="147"/>
      <c r="Q25" s="147"/>
      <c r="R25" s="147"/>
      <c r="S25" s="142" t="s">
        <v>146</v>
      </c>
      <c r="T25" s="147">
        <v>4307.31</v>
      </c>
      <c r="U25">
        <v>5674.62</v>
      </c>
      <c r="V25">
        <v>6431.24</v>
      </c>
      <c r="W25">
        <v>6123.19</v>
      </c>
      <c r="X25">
        <v>9186.32</v>
      </c>
      <c r="Y25">
        <v>13194.17</v>
      </c>
      <c r="Z25">
        <v>14673.89</v>
      </c>
      <c r="AB25">
        <f>SUM(T25:W25)</f>
        <v>22536.359999999997</v>
      </c>
      <c r="AC25">
        <f>X25+Y25+Z25</f>
        <v>37054.38</v>
      </c>
    </row>
    <row r="26" spans="1:20" ht="15">
      <c r="A26" s="36"/>
      <c r="B26" s="147"/>
      <c r="C26" s="147"/>
      <c r="D26" s="147"/>
      <c r="E26" s="147"/>
      <c r="F26" s="147"/>
      <c r="G26" s="147"/>
      <c r="H26" s="147"/>
      <c r="I26" s="147"/>
      <c r="J26" s="28">
        <f t="shared" si="0"/>
        <v>0</v>
      </c>
      <c r="K26" s="147">
        <f t="shared" si="1"/>
        <v>0</v>
      </c>
      <c r="L26" s="147"/>
      <c r="N26" s="147"/>
      <c r="O26" s="147"/>
      <c r="P26" s="147"/>
      <c r="Q26" s="147"/>
      <c r="R26" s="147"/>
      <c r="S26" s="142" t="s">
        <v>126</v>
      </c>
      <c r="T26" s="147"/>
    </row>
    <row r="27" spans="1:29" ht="12.75">
      <c r="A27" s="147" t="s">
        <v>142</v>
      </c>
      <c r="B27" s="147"/>
      <c r="C27" s="147"/>
      <c r="D27" s="147"/>
      <c r="E27" s="147"/>
      <c r="F27" s="147"/>
      <c r="G27" s="147"/>
      <c r="H27" s="147"/>
      <c r="I27" s="147"/>
      <c r="J27" s="28">
        <f t="shared" si="0"/>
        <v>0</v>
      </c>
      <c r="K27" s="147">
        <f t="shared" si="1"/>
        <v>0</v>
      </c>
      <c r="L27" s="147"/>
      <c r="N27" s="147"/>
      <c r="O27" s="147"/>
      <c r="P27" s="147"/>
      <c r="Q27" s="147"/>
      <c r="R27" s="147"/>
      <c r="S27" s="142" t="s">
        <v>127</v>
      </c>
      <c r="T27" s="147">
        <v>4210.03</v>
      </c>
      <c r="U27">
        <v>2048.27</v>
      </c>
      <c r="V27">
        <v>3588.52</v>
      </c>
      <c r="W27">
        <v>3361.54</v>
      </c>
      <c r="X27">
        <v>3050.37</v>
      </c>
      <c r="Y27">
        <v>4504.06</v>
      </c>
      <c r="Z27">
        <v>3783.67</v>
      </c>
      <c r="AB27">
        <f>SUM(T27:W27)</f>
        <v>13208.36</v>
      </c>
      <c r="AC27">
        <f>X27+Y27+Z27</f>
        <v>11338.1</v>
      </c>
    </row>
    <row r="28" spans="1:30" ht="13.5" thickBot="1">
      <c r="A28" s="142" t="s">
        <v>129</v>
      </c>
      <c r="B28" s="147"/>
      <c r="C28" s="147"/>
      <c r="D28" s="147"/>
      <c r="E28" s="147"/>
      <c r="F28" s="147">
        <v>-59984.7</v>
      </c>
      <c r="G28" s="147">
        <v>-65786.25</v>
      </c>
      <c r="H28" s="147">
        <v>-44004.96</v>
      </c>
      <c r="I28" s="147">
        <f>H28+H33</f>
        <v>8373.669999999998</v>
      </c>
      <c r="J28" s="28">
        <f t="shared" si="0"/>
        <v>0</v>
      </c>
      <c r="K28" s="147">
        <f t="shared" si="1"/>
        <v>-169775.91</v>
      </c>
      <c r="L28" s="147"/>
      <c r="N28" s="147"/>
      <c r="O28" s="147"/>
      <c r="P28" s="147"/>
      <c r="Q28" s="147"/>
      <c r="R28" s="147"/>
      <c r="S28" s="148" t="s">
        <v>128</v>
      </c>
      <c r="T28" s="147">
        <v>5582.75</v>
      </c>
      <c r="U28">
        <v>5371.97</v>
      </c>
      <c r="V28">
        <v>5355.76</v>
      </c>
      <c r="W28">
        <v>5161.2</v>
      </c>
      <c r="X28">
        <v>4246.3</v>
      </c>
      <c r="Y28">
        <v>6736.62</v>
      </c>
      <c r="Z28">
        <v>6626.29</v>
      </c>
      <c r="AB28">
        <f>SUM(T28:W28)</f>
        <v>21471.68</v>
      </c>
      <c r="AC28">
        <f>X28+Y28+Z28</f>
        <v>17609.21</v>
      </c>
      <c r="AD28">
        <f>AB24+AC24+AB25+AC25+AB27++AC27+AB28+AC28</f>
        <v>157772.05</v>
      </c>
    </row>
    <row r="29" spans="1:30" ht="15.75" thickBot="1">
      <c r="A29" s="148" t="s">
        <v>140</v>
      </c>
      <c r="B29" s="147"/>
      <c r="C29" s="147"/>
      <c r="D29" s="147"/>
      <c r="E29" s="147"/>
      <c r="F29" s="147">
        <v>60563.77</v>
      </c>
      <c r="G29" s="147">
        <v>58965.21</v>
      </c>
      <c r="H29" s="147">
        <v>45495.38</v>
      </c>
      <c r="I29" s="147">
        <f>H29+H34</f>
        <v>48528.32</v>
      </c>
      <c r="J29" s="28">
        <f t="shared" si="0"/>
        <v>0</v>
      </c>
      <c r="K29" s="147">
        <f t="shared" si="1"/>
        <v>165024.36</v>
      </c>
      <c r="L29" s="147"/>
      <c r="N29" s="147"/>
      <c r="O29" s="147"/>
      <c r="P29" s="147"/>
      <c r="Q29" s="147"/>
      <c r="R29" s="147"/>
      <c r="S29" s="36"/>
      <c r="AB29">
        <f>SUM(AA17:AA28)</f>
        <v>9682.310000000001</v>
      </c>
      <c r="AC29">
        <f>SUM(AB17:AB17)</f>
        <v>7004.01</v>
      </c>
      <c r="AD29">
        <f>AB29+AC29+T32+T33</f>
        <v>19513.309999999998</v>
      </c>
    </row>
    <row r="30" spans="1:20" ht="15.75" thickBot="1">
      <c r="A30" s="148" t="s">
        <v>141</v>
      </c>
      <c r="B30" s="147"/>
      <c r="C30" s="147"/>
      <c r="D30" s="147"/>
      <c r="E30" s="147"/>
      <c r="F30" s="147">
        <v>61230.76</v>
      </c>
      <c r="G30" s="147">
        <v>60436.8</v>
      </c>
      <c r="H30" s="147">
        <v>43775.74</v>
      </c>
      <c r="I30" s="147">
        <f>H30+H35</f>
        <v>46771.27</v>
      </c>
      <c r="J30" s="28">
        <f t="shared" si="0"/>
        <v>0</v>
      </c>
      <c r="K30" s="147">
        <f t="shared" si="1"/>
        <v>165443.3</v>
      </c>
      <c r="L30" s="147"/>
      <c r="N30" s="147"/>
      <c r="O30" s="147"/>
      <c r="P30" s="147"/>
      <c r="Q30" s="147"/>
      <c r="R30" s="147"/>
      <c r="S30" s="151" t="s">
        <v>139</v>
      </c>
      <c r="T30" s="36"/>
    </row>
    <row r="31" spans="1:20" ht="15">
      <c r="A31" s="36"/>
      <c r="B31" s="147"/>
      <c r="C31" s="147"/>
      <c r="D31" s="147"/>
      <c r="E31" s="147"/>
      <c r="F31" s="147"/>
      <c r="G31" s="147"/>
      <c r="I31" s="147">
        <f>SUM(I28:I30)</f>
        <v>103673.26</v>
      </c>
      <c r="J31" s="28">
        <f t="shared" si="0"/>
        <v>0</v>
      </c>
      <c r="K31" s="147">
        <f t="shared" si="1"/>
        <v>0</v>
      </c>
      <c r="L31" s="147"/>
      <c r="N31" s="147"/>
      <c r="O31" s="147"/>
      <c r="P31" s="147"/>
      <c r="Q31" s="147"/>
      <c r="R31" s="147"/>
      <c r="S31" s="142" t="s">
        <v>125</v>
      </c>
      <c r="T31" s="147"/>
    </row>
    <row r="32" spans="1:20" ht="12.75">
      <c r="A32" s="151" t="s">
        <v>139</v>
      </c>
      <c r="B32" s="147"/>
      <c r="C32" s="147"/>
      <c r="D32" s="147"/>
      <c r="E32" s="147"/>
      <c r="F32" s="147"/>
      <c r="G32" s="147"/>
      <c r="H32" s="147"/>
      <c r="I32" s="147"/>
      <c r="J32" s="28">
        <f t="shared" si="0"/>
        <v>0</v>
      </c>
      <c r="K32" s="147">
        <f t="shared" si="1"/>
        <v>0</v>
      </c>
      <c r="L32" s="147"/>
      <c r="N32" s="147"/>
      <c r="O32" s="147"/>
      <c r="P32" s="147"/>
      <c r="Q32" s="147"/>
      <c r="R32" s="147"/>
      <c r="S32" s="147" t="s">
        <v>130</v>
      </c>
      <c r="T32" s="147">
        <v>1280.98</v>
      </c>
    </row>
    <row r="33" spans="1:20" ht="12.75">
      <c r="A33" s="142" t="s">
        <v>129</v>
      </c>
      <c r="B33" s="147"/>
      <c r="C33" s="147"/>
      <c r="D33" s="147"/>
      <c r="E33" s="147"/>
      <c r="F33" s="147">
        <v>71407.76</v>
      </c>
      <c r="G33" s="147">
        <v>78416.51</v>
      </c>
      <c r="H33">
        <v>52378.63</v>
      </c>
      <c r="J33" s="28">
        <f t="shared" si="0"/>
        <v>0</v>
      </c>
      <c r="K33" s="147">
        <f t="shared" si="1"/>
        <v>202202.9</v>
      </c>
      <c r="L33" s="147"/>
      <c r="N33" s="147"/>
      <c r="O33" s="147"/>
      <c r="P33" s="147"/>
      <c r="Q33" s="147"/>
      <c r="R33" s="147"/>
      <c r="S33" s="147" t="s">
        <v>148</v>
      </c>
      <c r="T33">
        <v>1546.01</v>
      </c>
    </row>
    <row r="34" spans="1:18" ht="13.5" thickBot="1">
      <c r="A34" s="148" t="s">
        <v>140</v>
      </c>
      <c r="B34" s="147"/>
      <c r="C34" s="147"/>
      <c r="D34" s="147"/>
      <c r="E34" s="147"/>
      <c r="F34" s="147">
        <v>7328.98</v>
      </c>
      <c r="G34" s="147">
        <v>7882.68</v>
      </c>
      <c r="H34" s="147">
        <v>3032.94</v>
      </c>
      <c r="I34" s="147"/>
      <c r="J34" s="28">
        <f t="shared" si="0"/>
        <v>0</v>
      </c>
      <c r="K34" s="147">
        <f t="shared" si="1"/>
        <v>18244.6</v>
      </c>
      <c r="L34" s="147"/>
      <c r="N34" s="147"/>
      <c r="O34" s="147"/>
      <c r="P34" s="147"/>
      <c r="Q34" s="147"/>
      <c r="R34" s="147"/>
    </row>
    <row r="35" spans="1:18" ht="13.5" thickBot="1">
      <c r="A35" s="148" t="s">
        <v>141</v>
      </c>
      <c r="B35" s="147"/>
      <c r="C35" s="147"/>
      <c r="D35" s="147"/>
      <c r="E35" s="147"/>
      <c r="F35" s="147">
        <v>6855.58</v>
      </c>
      <c r="G35" s="147">
        <v>7326.95</v>
      </c>
      <c r="H35" s="147">
        <v>2995.53</v>
      </c>
      <c r="I35" s="147"/>
      <c r="J35" s="28">
        <f t="shared" si="0"/>
        <v>0</v>
      </c>
      <c r="K35" s="147">
        <f t="shared" si="1"/>
        <v>17178.059999999998</v>
      </c>
      <c r="L35" s="147"/>
      <c r="N35" s="147"/>
      <c r="O35" s="147"/>
      <c r="P35" s="147"/>
      <c r="Q35" s="147"/>
      <c r="R35" s="147"/>
    </row>
    <row r="36" ht="12.75">
      <c r="K36" s="147">
        <f>SUM(K28:K35)</f>
        <v>398317.30999999994</v>
      </c>
    </row>
    <row r="37" spans="2:3" ht="12.75">
      <c r="B37" t="s">
        <v>121</v>
      </c>
      <c r="C37" t="s">
        <v>165</v>
      </c>
    </row>
    <row r="38" spans="1:30" ht="12.75">
      <c r="A38" s="147" t="s">
        <v>142</v>
      </c>
      <c r="B38" s="147" t="s">
        <v>131</v>
      </c>
      <c r="C38" s="147" t="s">
        <v>132</v>
      </c>
      <c r="D38" s="147" t="s">
        <v>133</v>
      </c>
      <c r="E38" s="147" t="s">
        <v>134</v>
      </c>
      <c r="F38" s="147" t="s">
        <v>135</v>
      </c>
      <c r="G38" s="147" t="s">
        <v>136</v>
      </c>
      <c r="H38" s="147" t="s">
        <v>92</v>
      </c>
      <c r="I38" s="147"/>
      <c r="L38" s="147"/>
      <c r="S38" s="147" t="s">
        <v>190</v>
      </c>
      <c r="T38" s="147" t="s">
        <v>131</v>
      </c>
      <c r="U38" s="147" t="s">
        <v>132</v>
      </c>
      <c r="V38" s="147" t="s">
        <v>133</v>
      </c>
      <c r="W38" s="147" t="s">
        <v>134</v>
      </c>
      <c r="X38" s="147" t="s">
        <v>135</v>
      </c>
      <c r="Y38" s="147" t="s">
        <v>136</v>
      </c>
      <c r="Z38" s="147" t="s">
        <v>92</v>
      </c>
      <c r="AA38" s="147"/>
      <c r="AD38" s="147"/>
    </row>
    <row r="39" spans="1:30" ht="12.75">
      <c r="A39" s="142" t="s">
        <v>124</v>
      </c>
      <c r="D39" s="147"/>
      <c r="E39" s="147"/>
      <c r="F39" s="150"/>
      <c r="G39" s="150"/>
      <c r="H39" s="150"/>
      <c r="I39" s="150"/>
      <c r="J39" s="28">
        <f>SUM(B39:E39)</f>
        <v>0</v>
      </c>
      <c r="K39" s="147">
        <f>F39+G39+H39</f>
        <v>0</v>
      </c>
      <c r="L39" s="147">
        <f>SUM(J39:K39)</f>
        <v>0</v>
      </c>
      <c r="S39" s="142" t="s">
        <v>149</v>
      </c>
      <c r="T39" s="147"/>
      <c r="U39" s="147"/>
      <c r="V39" s="147"/>
      <c r="W39" s="147"/>
      <c r="X39" s="150"/>
      <c r="Y39" s="150"/>
      <c r="Z39" s="150"/>
      <c r="AA39" s="150"/>
      <c r="AB39" s="28">
        <f>SUM(T39:W39)</f>
        <v>0</v>
      </c>
      <c r="AC39" s="147">
        <f aca="true" t="shared" si="3" ref="AC39:AC46">X39+Y39+Z39</f>
        <v>0</v>
      </c>
      <c r="AD39" s="147">
        <f>SUM(AB39:AC39)</f>
        <v>0</v>
      </c>
    </row>
    <row r="40" spans="1:30" ht="12.75">
      <c r="A40" s="142" t="s">
        <v>158</v>
      </c>
      <c r="B40" s="147">
        <v>4415</v>
      </c>
      <c r="C40" s="147"/>
      <c r="D40" s="147"/>
      <c r="E40" s="147"/>
      <c r="F40" s="147"/>
      <c r="G40" s="150"/>
      <c r="H40" s="150"/>
      <c r="I40" s="150"/>
      <c r="J40" s="28">
        <f aca="true" t="shared" si="4" ref="J40:J46">SUM(B40:E40)</f>
        <v>4415</v>
      </c>
      <c r="K40" s="147">
        <f>F40+G40</f>
        <v>0</v>
      </c>
      <c r="L40" s="147"/>
      <c r="S40" s="142" t="s">
        <v>158</v>
      </c>
      <c r="T40" s="147"/>
      <c r="U40" s="147"/>
      <c r="V40" s="147"/>
      <c r="W40" s="147"/>
      <c r="X40" s="147"/>
      <c r="Y40" s="150"/>
      <c r="Z40" s="147">
        <v>10845.37</v>
      </c>
      <c r="AA40" s="150"/>
      <c r="AB40" s="28">
        <f aca="true" t="shared" si="5" ref="AB40:AB46">SUM(T40:W40)</f>
        <v>0</v>
      </c>
      <c r="AC40" s="147">
        <f t="shared" si="3"/>
        <v>10845.37</v>
      </c>
      <c r="AD40" s="147"/>
    </row>
    <row r="41" spans="1:30" ht="12.75">
      <c r="A41" s="142" t="s">
        <v>126</v>
      </c>
      <c r="B41" s="147"/>
      <c r="C41" s="147"/>
      <c r="D41" s="147"/>
      <c r="E41" s="147"/>
      <c r="F41" s="147"/>
      <c r="G41" s="147"/>
      <c r="H41" s="147"/>
      <c r="I41" s="147"/>
      <c r="J41" s="28">
        <f t="shared" si="4"/>
        <v>0</v>
      </c>
      <c r="K41" s="147">
        <f>F41+G41</f>
        <v>0</v>
      </c>
      <c r="L41" s="147"/>
      <c r="S41" s="142" t="s">
        <v>126</v>
      </c>
      <c r="T41" s="147"/>
      <c r="U41" s="147"/>
      <c r="V41" s="147"/>
      <c r="W41" s="147"/>
      <c r="X41" s="147"/>
      <c r="Y41" s="147"/>
      <c r="Z41">
        <v>-907.44</v>
      </c>
      <c r="AA41" s="147"/>
      <c r="AB41" s="28">
        <f t="shared" si="5"/>
        <v>0</v>
      </c>
      <c r="AC41" s="147">
        <f t="shared" si="3"/>
        <v>-907.44</v>
      </c>
      <c r="AD41" s="147"/>
    </row>
    <row r="42" spans="1:30" ht="12.75">
      <c r="A42" s="142" t="s">
        <v>127</v>
      </c>
      <c r="B42" s="147">
        <v>6457.19</v>
      </c>
      <c r="C42" s="147">
        <v>2350.81</v>
      </c>
      <c r="D42" s="147"/>
      <c r="E42" s="147"/>
      <c r="F42" s="147"/>
      <c r="G42" s="147"/>
      <c r="H42" s="147"/>
      <c r="I42" s="147"/>
      <c r="J42" s="28">
        <f t="shared" si="4"/>
        <v>8808</v>
      </c>
      <c r="K42" s="147">
        <f>F42+G42</f>
        <v>0</v>
      </c>
      <c r="L42" s="147"/>
      <c r="S42" s="142" t="s">
        <v>127</v>
      </c>
      <c r="T42" s="147">
        <v>2459.53</v>
      </c>
      <c r="U42" s="147">
        <v>783.53</v>
      </c>
      <c r="V42" s="147"/>
      <c r="W42" s="147"/>
      <c r="X42" s="147"/>
      <c r="Y42" s="147"/>
      <c r="Z42" s="147">
        <v>2147.04</v>
      </c>
      <c r="AA42" s="147"/>
      <c r="AB42" s="28">
        <f t="shared" si="5"/>
        <v>3243.0600000000004</v>
      </c>
      <c r="AC42" s="147">
        <f t="shared" si="3"/>
        <v>2147.04</v>
      </c>
      <c r="AD42" s="147"/>
    </row>
    <row r="43" spans="1:30" ht="13.5" thickBot="1">
      <c r="A43" s="148" t="s">
        <v>128</v>
      </c>
      <c r="B43" s="147">
        <v>13950.04</v>
      </c>
      <c r="C43" s="147">
        <v>8108.91</v>
      </c>
      <c r="D43" s="147"/>
      <c r="E43" s="147"/>
      <c r="F43" s="147"/>
      <c r="G43" s="147"/>
      <c r="H43" s="147"/>
      <c r="I43" s="147"/>
      <c r="J43" s="28">
        <f>SUM(B43:E43)</f>
        <v>22058.95</v>
      </c>
      <c r="K43" s="147">
        <f>F43+G43</f>
        <v>0</v>
      </c>
      <c r="L43" s="147"/>
      <c r="S43" s="148" t="s">
        <v>128</v>
      </c>
      <c r="T43" s="147">
        <v>2786.35</v>
      </c>
      <c r="U43" s="147">
        <v>2622.94</v>
      </c>
      <c r="V43" s="147"/>
      <c r="W43" s="147"/>
      <c r="X43" s="147"/>
      <c r="Y43" s="147"/>
      <c r="Z43" s="147">
        <v>3089.92</v>
      </c>
      <c r="AA43" s="147"/>
      <c r="AB43" s="28">
        <f t="shared" si="5"/>
        <v>5409.29</v>
      </c>
      <c r="AC43" s="147">
        <f t="shared" si="3"/>
        <v>3089.92</v>
      </c>
      <c r="AD43" s="147"/>
    </row>
    <row r="44" spans="1:30" ht="12.75">
      <c r="A44" s="151" t="s">
        <v>139</v>
      </c>
      <c r="B44" s="147"/>
      <c r="C44" s="147"/>
      <c r="D44" s="147"/>
      <c r="E44" s="147"/>
      <c r="F44" s="147"/>
      <c r="G44" s="147"/>
      <c r="H44" s="147"/>
      <c r="I44" s="147"/>
      <c r="J44" s="28">
        <f t="shared" si="4"/>
        <v>0</v>
      </c>
      <c r="K44" s="147">
        <f>F44+G44+H44</f>
        <v>0</v>
      </c>
      <c r="L44" s="147"/>
      <c r="S44" s="151" t="s">
        <v>139</v>
      </c>
      <c r="T44" s="147"/>
      <c r="U44" s="147"/>
      <c r="V44" s="147"/>
      <c r="W44" s="147"/>
      <c r="X44" s="147"/>
      <c r="Y44" s="147"/>
      <c r="Z44" s="147"/>
      <c r="AA44" s="147"/>
      <c r="AB44" s="28">
        <f t="shared" si="5"/>
        <v>0</v>
      </c>
      <c r="AC44" s="147">
        <f t="shared" si="3"/>
        <v>0</v>
      </c>
      <c r="AD44" s="147"/>
    </row>
    <row r="45" spans="1:30" ht="12.75">
      <c r="A45" s="142" t="s">
        <v>158</v>
      </c>
      <c r="B45" s="147"/>
      <c r="C45" s="147"/>
      <c r="D45" s="147"/>
      <c r="E45" s="147"/>
      <c r="F45" s="150"/>
      <c r="G45" s="150"/>
      <c r="H45" s="150"/>
      <c r="I45" s="150"/>
      <c r="J45" s="28">
        <f t="shared" si="4"/>
        <v>0</v>
      </c>
      <c r="K45" s="147">
        <f>F45+G45+H45</f>
        <v>0</v>
      </c>
      <c r="L45" s="147"/>
      <c r="S45" s="142" t="s">
        <v>158</v>
      </c>
      <c r="T45" s="147"/>
      <c r="U45" s="147"/>
      <c r="V45" s="147"/>
      <c r="W45" s="147"/>
      <c r="X45" s="150"/>
      <c r="Y45" s="150"/>
      <c r="Z45" s="150">
        <v>1997.11</v>
      </c>
      <c r="AA45" s="150"/>
      <c r="AB45" s="28">
        <f t="shared" si="5"/>
        <v>0</v>
      </c>
      <c r="AC45" s="147">
        <f t="shared" si="3"/>
        <v>1997.11</v>
      </c>
      <c r="AD45" s="147"/>
    </row>
    <row r="46" spans="1:30" ht="12.75">
      <c r="A46" s="142" t="s">
        <v>126</v>
      </c>
      <c r="B46" s="147"/>
      <c r="C46" s="147"/>
      <c r="D46" s="147"/>
      <c r="E46" s="147"/>
      <c r="F46" s="147"/>
      <c r="G46" s="147"/>
      <c r="H46" s="147"/>
      <c r="I46" s="147"/>
      <c r="J46" s="28">
        <f t="shared" si="4"/>
        <v>0</v>
      </c>
      <c r="K46" s="147">
        <f>F46+G46+H46</f>
        <v>0</v>
      </c>
      <c r="L46" s="147"/>
      <c r="S46" s="142" t="s">
        <v>126</v>
      </c>
      <c r="T46" s="147"/>
      <c r="U46" s="147"/>
      <c r="V46" s="147"/>
      <c r="W46" s="147"/>
      <c r="X46" s="147"/>
      <c r="Y46" s="147"/>
      <c r="Z46" s="147"/>
      <c r="AA46" s="147"/>
      <c r="AB46" s="28">
        <f t="shared" si="5"/>
        <v>0</v>
      </c>
      <c r="AC46" s="147">
        <f t="shared" si="3"/>
        <v>0</v>
      </c>
      <c r="AD46" s="147"/>
    </row>
    <row r="48" spans="1:30" ht="12.75">
      <c r="A48" s="151" t="s">
        <v>139</v>
      </c>
      <c r="B48" s="147"/>
      <c r="C48" s="147"/>
      <c r="D48" s="147"/>
      <c r="E48" s="147"/>
      <c r="F48" s="147"/>
      <c r="G48" s="147"/>
      <c r="H48" s="147"/>
      <c r="I48" s="147"/>
      <c r="J48" s="28">
        <f>SUM(B48:E48)</f>
        <v>0</v>
      </c>
      <c r="K48" s="147">
        <f>F48+G48+H48</f>
        <v>0</v>
      </c>
      <c r="S48" s="147" t="s">
        <v>191</v>
      </c>
      <c r="T48" s="147" t="s">
        <v>131</v>
      </c>
      <c r="U48" s="147" t="s">
        <v>132</v>
      </c>
      <c r="V48" s="147" t="s">
        <v>133</v>
      </c>
      <c r="W48" s="147" t="s">
        <v>134</v>
      </c>
      <c r="X48" s="147" t="s">
        <v>135</v>
      </c>
      <c r="Y48" s="147" t="s">
        <v>136</v>
      </c>
      <c r="Z48" s="147" t="s">
        <v>92</v>
      </c>
      <c r="AA48" s="147"/>
      <c r="AD48" s="147"/>
    </row>
    <row r="49" spans="1:30" ht="12.75">
      <c r="A49" s="142" t="s">
        <v>158</v>
      </c>
      <c r="B49" s="147"/>
      <c r="C49" s="147"/>
      <c r="D49" s="147"/>
      <c r="E49" s="147"/>
      <c r="F49" s="150"/>
      <c r="G49" s="150"/>
      <c r="H49" s="150"/>
      <c r="I49" s="150"/>
      <c r="J49" s="28">
        <f>SUM(B49:E49)</f>
        <v>0</v>
      </c>
      <c r="K49" s="147">
        <f>F49+G49+H49</f>
        <v>0</v>
      </c>
      <c r="S49" s="142" t="s">
        <v>149</v>
      </c>
      <c r="T49" s="147"/>
      <c r="U49" s="147"/>
      <c r="V49" s="147"/>
      <c r="W49" s="147"/>
      <c r="X49" s="150"/>
      <c r="Y49" s="150"/>
      <c r="Z49" s="150"/>
      <c r="AA49" s="150"/>
      <c r="AB49" s="28">
        <f>SUM(T49:W49)</f>
        <v>0</v>
      </c>
      <c r="AC49" s="147">
        <f aca="true" t="shared" si="6" ref="AC49:AC56">X49+Y49+Z49</f>
        <v>0</v>
      </c>
      <c r="AD49" s="147">
        <f>SUM(AB49:AC49)</f>
        <v>0</v>
      </c>
    </row>
    <row r="50" spans="1:30" ht="12.75">
      <c r="A50" s="142" t="s">
        <v>126</v>
      </c>
      <c r="B50" s="147"/>
      <c r="C50" s="147"/>
      <c r="D50" s="147"/>
      <c r="E50" s="147"/>
      <c r="F50" s="147"/>
      <c r="G50" s="147"/>
      <c r="H50" s="147"/>
      <c r="I50" s="147"/>
      <c r="J50" s="28">
        <f>SUM(B50:E50)</f>
        <v>0</v>
      </c>
      <c r="K50" s="147">
        <f>F50+G50+H50</f>
        <v>0</v>
      </c>
      <c r="S50" s="142" t="s">
        <v>158</v>
      </c>
      <c r="T50" s="147"/>
      <c r="U50" s="147"/>
      <c r="V50" s="147"/>
      <c r="W50" s="147"/>
      <c r="X50" s="147"/>
      <c r="Y50" s="150"/>
      <c r="Z50" s="150">
        <v>12391.99</v>
      </c>
      <c r="AA50" s="150"/>
      <c r="AB50" s="28">
        <f aca="true" t="shared" si="7" ref="AB50:AB56">SUM(T50:W50)</f>
        <v>0</v>
      </c>
      <c r="AC50" s="147">
        <f t="shared" si="6"/>
        <v>12391.99</v>
      </c>
      <c r="AD50" s="147"/>
    </row>
    <row r="51" spans="19:30" ht="12.75">
      <c r="S51" s="142" t="s">
        <v>126</v>
      </c>
      <c r="T51" s="147"/>
      <c r="U51" s="147"/>
      <c r="V51" s="147"/>
      <c r="W51" s="147"/>
      <c r="X51" s="147"/>
      <c r="Y51" s="147"/>
      <c r="Z51" s="147">
        <v>-1528.85</v>
      </c>
      <c r="AA51" s="147"/>
      <c r="AB51" s="28">
        <f t="shared" si="7"/>
        <v>0</v>
      </c>
      <c r="AC51" s="147">
        <f t="shared" si="6"/>
        <v>-1528.85</v>
      </c>
      <c r="AD51" s="147"/>
    </row>
    <row r="52" spans="19:30" ht="12.75">
      <c r="S52" s="142" t="s">
        <v>127</v>
      </c>
      <c r="T52" s="147">
        <v>4206.6</v>
      </c>
      <c r="U52" s="147">
        <v>2046.6</v>
      </c>
      <c r="V52" s="147"/>
      <c r="W52" s="147"/>
      <c r="X52" s="147"/>
      <c r="Y52" s="147"/>
      <c r="Z52" s="147">
        <v>3783.67</v>
      </c>
      <c r="AA52" s="147"/>
      <c r="AB52" s="28">
        <f t="shared" si="7"/>
        <v>6253.200000000001</v>
      </c>
      <c r="AC52" s="147">
        <f t="shared" si="6"/>
        <v>3783.67</v>
      </c>
      <c r="AD52" s="147"/>
    </row>
    <row r="53" spans="19:30" ht="13.5" thickBot="1">
      <c r="S53" s="148" t="s">
        <v>128</v>
      </c>
      <c r="T53" s="147">
        <v>5578.2</v>
      </c>
      <c r="U53" s="147">
        <v>5367.6</v>
      </c>
      <c r="V53" s="147"/>
      <c r="W53" s="147"/>
      <c r="X53" s="147"/>
      <c r="Y53" s="147"/>
      <c r="Z53" s="147">
        <v>6626.29</v>
      </c>
      <c r="AA53" s="147"/>
      <c r="AB53" s="28">
        <f t="shared" si="7"/>
        <v>10945.8</v>
      </c>
      <c r="AC53" s="147">
        <f t="shared" si="6"/>
        <v>6626.29</v>
      </c>
      <c r="AD53" s="147"/>
    </row>
    <row r="54" spans="19:30" ht="12.75">
      <c r="S54" s="151" t="s">
        <v>139</v>
      </c>
      <c r="T54" s="147"/>
      <c r="U54" s="147"/>
      <c r="V54" s="147"/>
      <c r="W54" s="147"/>
      <c r="X54" s="147"/>
      <c r="Y54" s="147"/>
      <c r="Z54" s="147"/>
      <c r="AA54" s="147"/>
      <c r="AB54" s="28">
        <f t="shared" si="7"/>
        <v>0</v>
      </c>
      <c r="AC54" s="147">
        <f t="shared" si="6"/>
        <v>0</v>
      </c>
      <c r="AD54" s="147"/>
    </row>
    <row r="55" spans="19:30" ht="12.75">
      <c r="S55" s="142" t="s">
        <v>158</v>
      </c>
      <c r="T55" s="147"/>
      <c r="U55" s="147"/>
      <c r="V55" s="147"/>
      <c r="W55" s="147"/>
      <c r="X55" s="150"/>
      <c r="Y55" s="150"/>
      <c r="Z55" s="150">
        <v>2281.9</v>
      </c>
      <c r="AA55" s="150"/>
      <c r="AB55" s="28">
        <f t="shared" si="7"/>
        <v>0</v>
      </c>
      <c r="AC55" s="147">
        <f t="shared" si="6"/>
        <v>2281.9</v>
      </c>
      <c r="AD55" s="147"/>
    </row>
    <row r="56" spans="19:30" ht="12.75">
      <c r="S56" s="142" t="s">
        <v>126</v>
      </c>
      <c r="T56" s="147"/>
      <c r="U56" s="147"/>
      <c r="V56" s="147"/>
      <c r="W56" s="147"/>
      <c r="X56" s="147"/>
      <c r="Y56" s="147"/>
      <c r="Z56" s="147"/>
      <c r="AA56" s="147"/>
      <c r="AB56" s="28">
        <f t="shared" si="7"/>
        <v>0</v>
      </c>
      <c r="AC56" s="147">
        <f t="shared" si="6"/>
        <v>0</v>
      </c>
      <c r="AD56" s="147"/>
    </row>
  </sheetData>
  <sheetProtection/>
  <mergeCells count="28">
    <mergeCell ref="S10:S11"/>
    <mergeCell ref="AC1:AD1"/>
    <mergeCell ref="AC10:AD10"/>
    <mergeCell ref="U1:V1"/>
    <mergeCell ref="U10:V10"/>
    <mergeCell ref="W1:X1"/>
    <mergeCell ref="W10:X10"/>
    <mergeCell ref="Y1:Z1"/>
    <mergeCell ref="B1:B2"/>
    <mergeCell ref="AA1:AB1"/>
    <mergeCell ref="M1:O1"/>
    <mergeCell ref="I1:I2"/>
    <mergeCell ref="T10:T11"/>
    <mergeCell ref="S1:S2"/>
    <mergeCell ref="T1:T2"/>
    <mergeCell ref="J1:L1"/>
    <mergeCell ref="AA10:AB10"/>
    <mergeCell ref="P1:Q1"/>
    <mergeCell ref="A1:A2"/>
    <mergeCell ref="C1:E1"/>
    <mergeCell ref="AE1:AF1"/>
    <mergeCell ref="Y10:Z10"/>
    <mergeCell ref="A10:A11"/>
    <mergeCell ref="B10:B11"/>
    <mergeCell ref="Q10:Q11"/>
    <mergeCell ref="F10:H10"/>
    <mergeCell ref="C10:E10"/>
    <mergeCell ref="F1:H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ДЭЗ№7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nvukova</dc:creator>
  <cp:keywords/>
  <dc:description/>
  <cp:lastModifiedBy>user</cp:lastModifiedBy>
  <cp:lastPrinted>2014-05-08T00:33:08Z</cp:lastPrinted>
  <dcterms:created xsi:type="dcterms:W3CDTF">2008-09-04T04:17:45Z</dcterms:created>
  <dcterms:modified xsi:type="dcterms:W3CDTF">2015-03-21T09:11:41Z</dcterms:modified>
  <cp:category/>
  <cp:version/>
  <cp:contentType/>
  <cp:contentStatus/>
</cp:coreProperties>
</file>